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CB76"/>
  <workbookPr codeName="ThisWorkbook"/>
  <bookViews>
    <workbookView xWindow="105" yWindow="75" windowWidth="18810" windowHeight="10920" tabRatio="902" activeTab="0"/>
  </bookViews>
  <sheets>
    <sheet name="TCOS" sheetId="1" r:id="rId1"/>
    <sheet name="WS A - Rate Base Support" sheetId="2" r:id="rId2"/>
    <sheet name="WS B ADIT &amp; ITC" sheetId="3" r:id="rId3"/>
    <sheet name="WS B-1 - Actual Stmt. AF" sheetId="4" r:id="rId4"/>
    <sheet name="WS B-2 - Actual Stmt. AG" sheetId="5" r:id="rId5"/>
    <sheet name="WS C  - Working Capital" sheetId="6" r:id="rId6"/>
    <sheet name="WS D IPP Credits" sheetId="7" r:id="rId7"/>
    <sheet name="WS E Rev Credits" sheetId="8" r:id="rId8"/>
    <sheet name="WS F Misc Exp" sheetId="9" r:id="rId9"/>
    <sheet name="WS G  State Tax Rate" sheetId="10" r:id="rId10"/>
    <sheet name="WS H-p1 Other Taxes" sheetId="11" r:id="rId11"/>
    <sheet name="WS H-p2 Detail of Tax Amts" sheetId="12" r:id="rId12"/>
    <sheet name="WS I RESERVED" sheetId="13" r:id="rId13"/>
    <sheet name="WS J PROJECTED RTEP RR" sheetId="14" state="hidden" r:id="rId14"/>
    <sheet name="WS K TRUE-UP RTEP RR" sheetId="15" r:id="rId15"/>
    <sheet name="WS L RESERVED" sheetId="16" r:id="rId16"/>
    <sheet name="WS M - Cost of Capital" sheetId="17" r:id="rId17"/>
    <sheet name="WS N - Sale of Plant Held" sheetId="18" r:id="rId18"/>
    <sheet name="Worksheet O" sheetId="19" r:id="rId19"/>
    <sheet name="WS P Dep. Rates" sheetId="20" r:id="rId20"/>
    <sheet name="WS Q Cap Structure" sheetId="21" state="hidden" r:id="rId21"/>
    <sheet name="WS R Interest" sheetId="22" state="hidden" r:id="rId22"/>
  </sheets>
  <externalReferences>
    <externalReference r:id="rId25"/>
    <externalReference r:id="rId26"/>
    <externalReference r:id="rId27"/>
    <externalReference r:id="rId28"/>
    <externalReference r:id="rId29"/>
    <externalReference r:id="rId30"/>
    <externalReference r:id="rId31"/>
  </externalReferences>
  <definedNames>
    <definedName name="_xlfn.AGGREGATE" hidden="1">#NAME?</definedName>
    <definedName name="_xlfn.SUMIFS"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18">'[5]TCOS'!#REF!</definedName>
    <definedName name="APCo_Hist_Allocators" localSheetId="1">'[3]TCOS'!#REF!</definedName>
    <definedName name="APCo_Hist_Allocators" localSheetId="11">#REF!</definedName>
    <definedName name="APCo_Hist_Allocators" localSheetId="16">'[4]TCOS'!#REF!</definedName>
    <definedName name="APCo_Hist_Allocators">'TCOS'!#REF!</definedName>
    <definedName name="APCo_Proj_Allocators" localSheetId="11">#REF!</definedName>
    <definedName name="APCo_Proj_Allocators">#REF!</definedName>
    <definedName name="APCo_TU_Allocators" localSheetId="11">#REF!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8">'[5]TCOS'!#REF!</definedName>
    <definedName name="IM_Allocators" localSheetId="1">'[3]TCOS'!#REF!</definedName>
    <definedName name="IM_Allocators" localSheetId="11">#REF!</definedName>
    <definedName name="IM_Allocators" localSheetId="16">'[4]TCOS'!#REF!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8">'[5]WS I RESERVED'!#REF!</definedName>
    <definedName name="M_A" localSheetId="1">'[3]WS I RESERVED'!#REF!</definedName>
    <definedName name="M_A" localSheetId="11">#REF!</definedName>
    <definedName name="M_A" localSheetId="16">'[4]WS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8">'[5]TCOS'!$J$104</definedName>
    <definedName name="NP_h" localSheetId="1">'[3]TCOS'!$J$102</definedName>
    <definedName name="NP_h" localSheetId="11">'[2]APCo Historic TCOS'!$J$100</definedName>
    <definedName name="NP_h" localSheetId="16">'[4]TCOS'!$J$102</definedName>
    <definedName name="NP_h">'TCOS'!$J$80</definedName>
    <definedName name="NP_h1">#REF!</definedName>
    <definedName name="NPh" localSheetId="11">#REF!</definedName>
    <definedName name="NPh">'TCOS'!$J$80</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'TCOS'!$A$1:$L$364</definedName>
    <definedName name="_xlnm.Print_Area" localSheetId="18">'Worksheet O'!$A$1:$D$35</definedName>
    <definedName name="_xlnm.Print_Area" localSheetId="2">'WS B ADIT &amp; ITC'!$A$1:$I$54</definedName>
    <definedName name="_xlnm.Print_Area" localSheetId="6">'WS D IPP Credits'!$A$1:$E$26</definedName>
    <definedName name="_xlnm.Print_Area" localSheetId="7">'WS E Rev Credits'!$A$1:$K$36</definedName>
    <definedName name="_xlnm.Print_Area" localSheetId="8">'WS F Misc Exp'!$A$1:$G$71</definedName>
    <definedName name="_xlnm.Print_Area" localSheetId="9">'WS G  State Tax Rate'!$A$1:$H$32</definedName>
    <definedName name="_xlnm.Print_Area" localSheetId="10">'WS H-p1 Other Taxes'!$A$1:$M$69</definedName>
    <definedName name="_xlnm.Print_Area" localSheetId="11">'WS H-p2 Detail of Tax Amts'!$A$1:$G$106</definedName>
    <definedName name="_xlnm.Print_Area" localSheetId="12">'WS I RESERVED'!$A$1:$J$4</definedName>
    <definedName name="_xlnm.Print_Area" localSheetId="13">'WS J PROJECTED RTEP RR'!$A$1:$O$168</definedName>
    <definedName name="_xlnm.Print_Area" localSheetId="14">'WS K TRUE-UP RTEP RR'!$A$1:$P$1024</definedName>
    <definedName name="_xlnm.Print_Area" localSheetId="15">'WS L RESERVED'!$A$1:$F$7</definedName>
    <definedName name="_xlnm.Print_Area" localSheetId="17">'WS N - Sale of Plant Held'!$A$1:$U$33</definedName>
    <definedName name="_xlnm.Print_Area" localSheetId="19">'WS P Dep. Rates'!$A$1:$F$9</definedName>
    <definedName name="_xlnm.Print_Area" localSheetId="20">'WS Q Cap Structure'!$A$1:$J$235</definedName>
    <definedName name="_xlnm.Print_Titles" localSheetId="1">'WS A - Rate Base Support'!$1:$5</definedName>
    <definedName name="_xlnm.Print_Titles" localSheetId="5">'WS C  - Working Capital'!$1:$7</definedName>
    <definedName name="_xlnm.Print_Titles" localSheetId="10">'WS H-p1 Other Taxes'!$1:$5</definedName>
    <definedName name="_xlnm.Print_Titles" localSheetId="11">'WS H-p2 Detail of Tax Amts'!$1:$4</definedName>
    <definedName name="_xlnm.Print_Titles" localSheetId="16">'WS M - Cost of Capital'!$1:$5</definedName>
    <definedName name="_xlnm.Print_Titles" localSheetId="19">'WS P Dep. Rates'!$3:$9</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1">#REF!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8" hidden="1">'Worksheet O'!#REF!</definedName>
    <definedName name="Z_3768C7C8_9953_11DA_B318_000FB55D51DC_.wvu.PrintArea" localSheetId="5" hidden="1">'WS C  - Working Capital'!$A$8:$N$78</definedName>
    <definedName name="Z_3768C7C8_9953_11DA_B318_000FB55D51DC_.wvu.PrintTitles" localSheetId="18" hidden="1">'Worksheet O'!#REF!</definedName>
    <definedName name="Z_3768C7C8_9953_11DA_B318_000FB55D51DC_.wvu.PrintTitles" localSheetId="5" hidden="1">'WS C  - Working Capital'!#REF!</definedName>
    <definedName name="Z_3768C7C8_9953_11DA_B318_000FB55D51DC_.wvu.Rows" localSheetId="18" hidden="1">'Worksheet O'!#REF!</definedName>
    <definedName name="Z_3768C7C8_9953_11DA_B318_000FB55D51DC_.wvu.Rows" localSheetId="5" hidden="1">'WS C  - Working Capital'!#REF!</definedName>
    <definedName name="Z_3BDD6235_B127_4929_8311_BDAF7BB89818_.wvu.PrintArea" localSheetId="18" hidden="1">'Worksheet O'!#REF!</definedName>
    <definedName name="Z_3BDD6235_B127_4929_8311_BDAF7BB89818_.wvu.PrintArea" localSheetId="5" hidden="1">'WS C  - Working Capital'!$A$8:$N$78</definedName>
    <definedName name="Z_3BDD6235_B127_4929_8311_BDAF7BB89818_.wvu.PrintTitles" localSheetId="18" hidden="1">'Worksheet O'!#REF!</definedName>
    <definedName name="Z_3BDD6235_B127_4929_8311_BDAF7BB89818_.wvu.PrintTitles" localSheetId="5" hidden="1">'WS C  - Working Capital'!#REF!</definedName>
    <definedName name="Z_3BDD6235_B127_4929_8311_BDAF7BB89818_.wvu.Rows" localSheetId="18" hidden="1">'Worksheet O'!#REF!</definedName>
    <definedName name="Z_3BDD6235_B127_4929_8311_BDAF7BB89818_.wvu.Rows" localSheetId="5" hidden="1">'WS C  - Working Capital'!#REF!</definedName>
    <definedName name="Z_B0241363_5C8A_48FC_89A6_56D55586BABE_.wvu.PrintArea" localSheetId="18" hidden="1">'Worksheet O'!#REF!</definedName>
    <definedName name="Z_B0241363_5C8A_48FC_89A6_56D55586BABE_.wvu.PrintArea" localSheetId="5" hidden="1">'WS C  - Working Capital'!$A$8:$N$78</definedName>
    <definedName name="Z_B0241363_5C8A_48FC_89A6_56D55586BABE_.wvu.PrintTitles" localSheetId="18" hidden="1">'Worksheet O'!#REF!</definedName>
    <definedName name="Z_B0241363_5C8A_48FC_89A6_56D55586BABE_.wvu.PrintTitles" localSheetId="5" hidden="1">'WS C  - Working Capital'!#REF!</definedName>
    <definedName name="Z_B0241363_5C8A_48FC_89A6_56D55586BABE_.wvu.Rows" localSheetId="18" hidden="1">'Worksheet O'!#REF!</definedName>
    <definedName name="Z_B0241363_5C8A_48FC_89A6_56D55586BABE_.wvu.Rows" localSheetId="5" hidden="1">'WS C  - Working Capital'!#REF!</definedName>
    <definedName name="Z_C0EA0F9F_7310_4201_82C9_7B8FC8DB9137_.wvu.PrintArea" localSheetId="18" hidden="1">'Worksheet O'!#REF!</definedName>
    <definedName name="Z_C0EA0F9F_7310_4201_82C9_7B8FC8DB9137_.wvu.PrintArea" localSheetId="5" hidden="1">'WS C  - Working Capital'!$A$8:$N$78</definedName>
    <definedName name="Z_C0EA0F9F_7310_4201_82C9_7B8FC8DB9137_.wvu.PrintTitles" localSheetId="18" hidden="1">'Worksheet O'!#REF!</definedName>
    <definedName name="Z_C0EA0F9F_7310_4201_82C9_7B8FC8DB9137_.wvu.PrintTitles" localSheetId="5" hidden="1">'WS C  - Working Capital'!#REF!</definedName>
    <definedName name="Z_C0EA0F9F_7310_4201_82C9_7B8FC8DB9137_.wvu.Rows" localSheetId="18" hidden="1">'Worksheet O'!#REF!</definedName>
    <definedName name="Z_C0EA0F9F_7310_4201_82C9_7B8FC8DB9137_.wvu.Rows" localSheetId="5" hidden="1">'WS C  - Working Capital'!#REF!</definedName>
    <definedName name="Z_C5140E12_E05E_4473_9142_42F37320A417_.wvu.Cols" localSheetId="11" hidden="1">'WS H-p2 Detail of Tax Amts'!$F:$F</definedName>
    <definedName name="Z_C5140E12_E05E_4473_9142_42F37320A417_.wvu.PrintArea" localSheetId="11" hidden="1">'WS H-p2 Detail of Tax Amts'!$A$1:$F$101</definedName>
    <definedName name="Z_C5140E12_E05E_4473_9142_42F37320A417_.wvu.PrintArea" localSheetId="13" hidden="1">'WS J PROJECTED RTEP RR'!$A$1:$O$81</definedName>
    <definedName name="Z_C5140E12_E05E_4473_9142_42F37320A417_.wvu.PrintTitles" localSheetId="11" hidden="1">'WS H-p2 Detail of Tax Amts'!$1:$4</definedName>
    <definedName name="Zip">#REF!</definedName>
  </definedNames>
  <calcPr fullCalcOnLoad="1" iterate="1" iterateCount="100" iterateDelta="0.001"/>
</workbook>
</file>

<file path=xl/sharedStrings.xml><?xml version="1.0" encoding="utf-8"?>
<sst xmlns="http://schemas.openxmlformats.org/spreadsheetml/2006/main" count="2226" uniqueCount="955">
  <si>
    <t>Other Adjustments</t>
  </si>
  <si>
    <t xml:space="preserve">           Acct. 928 - Transmission Specific</t>
  </si>
  <si>
    <t>FERC FORM 1</t>
  </si>
  <si>
    <t>Tie-Back</t>
  </si>
  <si>
    <t>FERC FORM 1 Reference</t>
  </si>
  <si>
    <t>P.263 ln 22 (i)</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</si>
  <si>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</si>
  <si>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</si>
  <si>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</si>
  <si>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</si>
  <si>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</si>
  <si>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</si>
  <si>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</si>
  <si>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</si>
  <si>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</si>
  <si>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</si>
  <si>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</si>
  <si>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</si>
  <si>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</si>
  <si>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</si>
  <si>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</si>
  <si>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</si>
  <si>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</si>
  <si>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</si>
  <si>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</si>
  <si>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</si>
  <si>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</si>
  <si>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</si>
  <si>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</si>
  <si>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</si>
  <si>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</si>
  <si>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</si>
  <si>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</si>
  <si>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</si>
  <si>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</si>
  <si>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</si>
  <si>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</si>
  <si>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</si>
  <si>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</si>
  <si>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</si>
  <si>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</si>
  <si>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</si>
  <si>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</si>
  <si>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</si>
  <si>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</si>
  <si>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</si>
  <si>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</si>
  <si>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</si>
  <si>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</si>
  <si>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</si>
  <si>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</si>
  <si>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</si>
  <si>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</si>
  <si>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</si>
  <si>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</si>
  <si>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</si>
  <si>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</si>
  <si>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</si>
  <si>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</si>
  <si>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</si>
  <si>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</si>
  <si>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</si>
  <si>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</si>
  <si>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</si>
  <si>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</si>
  <si>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</si>
  <si>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</si>
  <si>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</si>
  <si>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</si>
  <si>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</si>
  <si>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</si>
  <si>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</si>
  <si>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</si>
  <si>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</si>
  <si>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</si>
  <si>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</si>
  <si>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</si>
  <si>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</si>
  <si>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</si>
  <si>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</si>
  <si>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</si>
  <si>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</si>
  <si>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</si>
  <si>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</si>
  <si>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</si>
  <si>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</si>
  <si>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</si>
  <si>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</si>
  <si>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</si>
  <si>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</si>
  <si>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</si>
  <si>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</si>
  <si>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</si>
  <si>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</si>
  <si>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</si>
  <si>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</si>
  <si>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</si>
  <si>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</si>
  <si>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</si>
  <si>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</si>
  <si>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</si>
  <si>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</si>
  <si>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</si>
  <si>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</si>
  <si>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</si>
  <si>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</si>
  <si>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</si>
  <si>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</si>
  <si>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</si>
  <si>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</si>
  <si>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</si>
  <si>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</si>
  <si>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</si>
  <si>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</si>
  <si>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</si>
  <si>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</si>
  <si>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</si>
  <si>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</si>
  <si>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</si>
  <si>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</si>
  <si>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</si>
  <si>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</si>
  <si>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</si>
  <si>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</si>
  <si>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</si>
  <si>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</si>
  <si>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</si>
  <si>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</si>
  <si>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</si>
  <si>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</si>
  <si>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</si>
  <si>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</si>
  <si>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</si>
  <si>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</si>
  <si>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</si>
  <si>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</si>
  <si>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</si>
  <si>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</si>
  <si>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</si>
  <si>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</si>
  <si>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</si>
  <si>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</si>
  <si>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</si>
  <si>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</si>
  <si>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</si>
  <si>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</si>
  <si>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</si>
  <si>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</si>
  <si>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</si>
  <si>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</si>
  <si>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</si>
  <si>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</si>
  <si>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</si>
  <si>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</si>
  <si>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</si>
  <si>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</si>
  <si>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</si>
  <si>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</si>
  <si>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</si>
  <si>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</si>
  <si>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</si>
  <si>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</si>
  <si>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</si>
  <si>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</si>
  <si>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</si>
  <si>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</si>
  <si>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</si>
  <si>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</si>
  <si>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</si>
  <si>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</si>
  <si>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</si>
  <si>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</si>
  <si>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</si>
  <si>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</si>
  <si>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</si>
  <si>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</si>
  <si>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</si>
  <si>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</si>
  <si>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</si>
  <si>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</si>
  <si>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</si>
  <si>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</si>
  <si>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</si>
  <si>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</si>
  <si>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</si>
  <si>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</si>
  <si>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</si>
  <si>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</si>
  <si>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</si>
  <si>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</si>
  <si>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</si>
  <si>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</si>
  <si>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</si>
  <si>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</si>
  <si>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</si>
  <si>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</si>
  <si>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</si>
  <si>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</si>
  <si>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</si>
  <si>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</si>
  <si>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</si>
  <si>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</si>
  <si>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</si>
  <si>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</si>
  <si>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</si>
  <si>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</si>
  <si>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</si>
  <si>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</si>
  <si>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</si>
  <si>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</si>
  <si>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</si>
  <si>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</si>
  <si>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</si>
  <si>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</si>
  <si>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</si>
  <si>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</si>
  <si>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</si>
  <si>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</si>
  <si>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</si>
  <si>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</si>
  <si>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</si>
  <si>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</si>
  <si>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</si>
  <si>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</si>
  <si>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</si>
  <si>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</si>
  <si>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</si>
  <si>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</si>
  <si>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</si>
  <si>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</si>
  <si>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</si>
  <si>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</si>
  <si>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</si>
  <si>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</si>
  <si>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</si>
  <si>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</si>
  <si>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</si>
  <si>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</si>
  <si>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</si>
  <si>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</si>
  <si>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</si>
  <si>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</si>
  <si>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</si>
  <si>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</si>
  <si>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</si>
  <si>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</si>
  <si>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</si>
  <si>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</si>
  <si>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</si>
  <si>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</si>
  <si>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</si>
  <si>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</si>
  <si>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</si>
  <si>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</si>
  <si>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</si>
  <si>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</si>
  <si>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</si>
  <si>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</si>
  <si>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</si>
  <si>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</si>
  <si>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</si>
  <si>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</si>
  <si>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</si>
  <si>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</si>
  <si>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</si>
  <si>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</si>
  <si>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</si>
  <si>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</si>
  <si>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</si>
  <si>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</si>
  <si>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</si>
  <si>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</si>
  <si>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</si>
  <si>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</si>
  <si>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</si>
  <si>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</si>
  <si>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</si>
  <si>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</si>
  <si>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</si>
  <si>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</si>
  <si>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</si>
  <si>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</si>
  <si>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</si>
  <si>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</si>
  <si>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</si>
  <si>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</si>
  <si>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</si>
  <si>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</si>
  <si>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</si>
  <si>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</si>
  <si>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</si>
  <si>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</si>
  <si>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</si>
  <si>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</si>
  <si>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</si>
  <si>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</si>
  <si>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</si>
  <si>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</si>
  <si>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</si>
  <si>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</si>
  <si>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</si>
  <si>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</si>
  <si>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</si>
  <si>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</si>
  <si>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</si>
  <si>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</si>
  <si>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</si>
  <si>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</si>
  <si>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</si>
  <si>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</si>
  <si>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</si>
  <si>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</si>
  <si>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</si>
  <si>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</si>
  <si>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</si>
  <si>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</si>
  <si>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</si>
  <si>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</si>
  <si>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</si>
  <si>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</si>
  <si>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</si>
  <si>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</si>
  <si>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</si>
  <si>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</si>
  <si>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</si>
  <si>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</si>
  <si>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</si>
  <si>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</si>
  <si>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</si>
  <si>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</si>
  <si>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</si>
  <si>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</si>
  <si>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</si>
  <si>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</si>
  <si>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</si>
  <si>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</si>
  <si>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</si>
  <si>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</si>
  <si>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</si>
  <si>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</si>
  <si>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</si>
  <si>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</si>
  <si>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</si>
  <si>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</si>
  <si>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</si>
  <si>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</si>
  <si>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</si>
  <si>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</si>
  <si>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</si>
  <si>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</si>
  <si>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</si>
  <si>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</si>
  <si>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</si>
  <si>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</si>
  <si>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</si>
  <si>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</si>
  <si>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</si>
  <si>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</si>
  <si>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</si>
  <si>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</si>
  <si>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</si>
  <si>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</si>
  <si>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</si>
  <si>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</si>
  <si>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</si>
  <si>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</si>
  <si>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</si>
  <si>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</si>
  <si>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</si>
  <si>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</si>
  <si>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</si>
  <si>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</si>
  <si>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</si>
  <si>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</si>
  <si>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</si>
  <si>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</si>
  <si>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</si>
  <si>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</si>
  <si>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</si>
  <si>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</si>
  <si>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</si>
  <si>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</si>
  <si>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</si>
  <si>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</si>
  <si>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</si>
  <si>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</si>
  <si>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</si>
  <si>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</si>
  <si>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</si>
  <si>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</si>
  <si>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</si>
  <si>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</si>
  <si>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</si>
  <si>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</si>
  <si>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</si>
  <si>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</si>
  <si>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</si>
  <si>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</si>
  <si>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</si>
  <si>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</si>
  <si>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</si>
  <si>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</si>
  <si>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</si>
  <si>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</si>
  <si>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</si>
  <si>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</si>
  <si>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</si>
  <si>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</si>
  <si>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</si>
  <si>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</si>
  <si>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</si>
  <si>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</si>
  <si>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</si>
  <si>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</si>
  <si>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</si>
  <si>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</si>
  <si>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</si>
  <si>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</si>
  <si>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</si>
  <si>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</si>
  <si>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</si>
  <si>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</si>
  <si>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</si>
  <si>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</si>
  <si>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</si>
  <si>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</si>
  <si>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</si>
  <si>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</si>
  <si>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</si>
  <si>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</si>
  <si>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</si>
  <si>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</si>
  <si>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</si>
  <si>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</si>
  <si>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</si>
  <si>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</si>
  <si>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</si>
  <si>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</si>
  <si>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</si>
  <si>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</si>
  <si>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</si>
  <si>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</si>
  <si>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</si>
  <si>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</si>
  <si>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</si>
  <si>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</si>
  <si>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</si>
  <si>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</si>
  <si>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</si>
  <si>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</si>
  <si>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</si>
  <si>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</si>
  <si>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</si>
  <si>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</si>
  <si>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</si>
  <si>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</si>
  <si>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</si>
  <si>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</si>
  <si>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</si>
  <si>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</si>
  <si>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</si>
  <si>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</si>
  <si>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</si>
  <si>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</si>
  <si>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</si>
  <si>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</si>
  <si>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</si>
  <si>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</si>
  <si>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</si>
  <si>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</si>
  <si>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</si>
  <si>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</si>
  <si>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</si>
  <si>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</si>
  <si>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</si>
  <si>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</si>
  <si>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</si>
  <si>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</si>
  <si>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</si>
  <si>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</si>
  <si>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</si>
  <si>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</si>
  <si>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</si>
  <si>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</si>
  <si>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</si>
  <si>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</si>
  <si>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</si>
  <si>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</si>
  <si>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</si>
  <si>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</si>
  <si>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</si>
  <si>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</si>
  <si>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</si>
  <si>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</si>
  <si>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</si>
  <si>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</si>
  <si>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</si>
  <si>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</si>
  <si>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</si>
  <si>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</si>
  <si>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</si>
  <si>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</si>
  <si>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</si>
  <si>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</si>
  <si>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</si>
  <si>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</si>
  <si>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</si>
  <si>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</si>
  <si>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</si>
  <si>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</si>
  <si>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</si>
  <si>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</si>
  <si>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</si>
  <si>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</si>
  <si>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</si>
  <si>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</si>
  <si>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</si>
  <si>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</si>
  <si>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</si>
  <si>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</si>
  <si>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</si>
  <si>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</si>
  <si>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</si>
  <si>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</si>
  <si>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</si>
  <si>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</si>
  <si>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</si>
  <si>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</si>
  <si>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</si>
  <si>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</si>
  <si>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</si>
  <si>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</si>
  <si>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</si>
  <si>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</si>
  <si>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</si>
  <si>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</si>
  <si>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</si>
  <si>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</si>
  <si>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</si>
  <si>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</si>
  <si>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</si>
  <si>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</si>
  <si>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</si>
  <si>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</si>
  <si>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</si>
  <si>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</si>
  <si>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</si>
  <si>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</si>
  <si>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</si>
  <si>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</si>
  <si>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</si>
  <si>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</si>
  <si>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</si>
  <si>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</si>
  <si>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</si>
  <si>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EFFECTIVE AS OF July 1, 2014</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</si>
  <si>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</si>
  <si>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</si>
  <si>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</si>
  <si>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</si>
  <si>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</si>
  <si>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</si>
  <si>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</si>
  <si>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</si>
  <si>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</si>
  <si>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</si>
  <si>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</si>
  <si>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</si>
  <si>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</si>
  <si>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</si>
  <si>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</si>
  <si>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</si>
  <si>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</si>
  <si>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</si>
  <si>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</si>
  <si>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</si>
  <si>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An over or under collection will be recovered prorata over 2018, held for 2019 and returned prorate over 2020</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</si>
  <si>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</si>
  <si>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</si>
  <si>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</si>
  <si>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</si>
  <si>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</si>
  <si>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</si>
  <si>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</si>
  <si>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</si>
  <si>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</si>
  <si>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</si>
  <si>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</si>
  <si>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</si>
  <si>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</si>
  <si>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</si>
  <si>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</si>
  <si>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</si>
  <si>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</si>
  <si>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</si>
  <si>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</si>
  <si>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</si>
  <si>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</si>
  <si>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</si>
  <si>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</si>
  <si>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</si>
  <si>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</si>
  <si>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</si>
  <si>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</si>
  <si>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</si>
  <si>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</si>
  <si>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</si>
  <si>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</si>
  <si>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</si>
  <si>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</si>
  <si>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Transmission Plant Balances in this study are projected or actual average beginning of year end of year balances.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</si>
  <si>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</si>
  <si>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</si>
  <si>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</si>
  <si>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</si>
  <si>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</si>
  <si>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</si>
  <si>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</si>
  <si>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</si>
  <si>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</si>
  <si>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</si>
  <si>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</si>
  <si>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</si>
  <si>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Real and Personal Property - West Virginia</t>
  </si>
  <si>
    <t>Real and Personal Property - Virginia</t>
  </si>
  <si>
    <t>Real and Personal Property - Tennessee</t>
  </si>
  <si>
    <r>
      <t xml:space="preserve">Note: </t>
    </r>
    <r>
      <rPr>
        <sz val="12"/>
        <rFont val="Arial MT"/>
        <family val="0"/>
      </rPr>
      <t>Per the Settlement in Docket No. ER10-355, Appendix A.1.2, AEP WEST VIRIGINIA TRANSMISSION COMPANY shall use the depreciation rates shown above by FERC Account until such time as the FERC approves new depreciation rates pusuant to a Section 205 or 206 filing to change rates.</t>
    </r>
  </si>
  <si>
    <t>APCo</t>
  </si>
  <si>
    <t>WPCo</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</si>
  <si>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</si>
  <si>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</si>
  <si>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</si>
  <si>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</si>
  <si>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r>
      <t>Note:</t>
    </r>
    <r>
      <rPr>
        <sz val="12"/>
        <rFont val="Arial"/>
        <family val="2"/>
      </rPr>
      <t xml:space="preserve"> AEP WEST VIRGINIA TRANSMISSION COMPANY shall initially use the composite depreciation rate for APCo and WPCo shown above to estimate depreciation expense for transmission projects in Worksheets J and K until a composite depreciation rate based on transmission plant in service and depreciation expenses recorded by AEP WEST VIRGINIA TRANSMISSION COMPANY for its own transmission facilities can be calculated in AEP WEST VIRGINIA TRANSMISSION COMPANY's the first Annual Update including a True-Up TCOS.</t>
    </r>
  </si>
  <si>
    <t xml:space="preserve">Interest Rate on Amount of Refunds </t>
  </si>
  <si>
    <t>or Surcharges (Note 1)</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</si>
  <si>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</si>
  <si>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</si>
  <si>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</si>
  <si>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</si>
  <si>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</si>
  <si>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</si>
  <si>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</si>
  <si>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</si>
  <si>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</si>
  <si>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</si>
  <si>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</si>
  <si>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</si>
  <si>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</si>
  <si>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</si>
  <si>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</si>
  <si>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</si>
  <si>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</si>
  <si>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</si>
  <si>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</si>
  <si>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</si>
  <si>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</si>
  <si>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</si>
  <si>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</si>
  <si>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</si>
  <si>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</si>
  <si>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</si>
  <si>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</si>
  <si>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</si>
  <si>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</si>
  <si>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</si>
  <si>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</si>
  <si>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</si>
  <si>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</si>
  <si>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</si>
  <si>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</si>
  <si>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</si>
  <si>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</si>
  <si>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</si>
  <si>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</si>
  <si>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</si>
  <si>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</si>
  <si>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</si>
  <si>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</si>
  <si>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</si>
  <si>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</si>
  <si>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</si>
  <si>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</si>
  <si>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</si>
  <si>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</si>
  <si>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</si>
  <si>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</si>
  <si>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</si>
  <si>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</si>
  <si>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</si>
  <si>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</si>
  <si>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</si>
  <si>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</si>
  <si>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</si>
  <si>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</si>
  <si>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</si>
  <si>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</si>
  <si>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</si>
  <si>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</si>
  <si>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</si>
  <si>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</si>
  <si>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</si>
  <si>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</si>
  <si>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</si>
  <si>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</si>
  <si>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</si>
  <si>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</si>
  <si>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</si>
  <si>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</si>
  <si>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</si>
  <si>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</si>
  <si>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</si>
  <si>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</si>
  <si>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</si>
  <si>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</si>
  <si>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</si>
  <si>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</si>
  <si>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</si>
  <si>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</si>
  <si>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</si>
  <si>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</si>
  <si>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</si>
  <si>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</si>
  <si>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</si>
  <si>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</si>
  <si>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</si>
  <si>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</si>
  <si>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</si>
  <si>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</si>
  <si>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</si>
  <si>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</si>
  <si>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</si>
  <si>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</si>
  <si>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</si>
  <si>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</si>
  <si>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</si>
  <si>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</si>
  <si>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</si>
  <si>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</si>
  <si>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</si>
  <si>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</si>
  <si>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</si>
  <si>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</si>
  <si>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</si>
  <si>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</si>
  <si>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</si>
  <si>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</si>
  <si>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</si>
  <si>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</si>
  <si>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</si>
  <si>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</si>
  <si>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</si>
  <si>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</si>
  <si>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</si>
  <si>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</si>
  <si>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</si>
  <si>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</si>
  <si>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</si>
  <si>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</si>
  <si>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</si>
  <si>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</si>
  <si>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</si>
  <si>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</si>
  <si>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</si>
  <si>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</si>
  <si>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</si>
  <si>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</si>
  <si>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</si>
  <si>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</si>
  <si>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</si>
  <si>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</si>
  <si>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</si>
  <si>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</si>
  <si>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</si>
  <si>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</si>
  <si>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</si>
  <si>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</si>
  <si>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</si>
  <si>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</si>
  <si>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</si>
  <si>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</si>
  <si>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</si>
  <si>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</si>
  <si>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</si>
  <si>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</si>
  <si>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</si>
  <si>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</si>
  <si>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</si>
  <si>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</si>
  <si>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</si>
  <si>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</si>
  <si>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Common Stock cost rate (ROE) = 11.49%, the rate accepted by FERC in Docket No. ER10-355.  It includes an additional 50 basis points for PJM RTO membership.  All Transmission Companies other than AEP Appalachian Transmission Company utilize their own capital structure and costs as shown on Worksheet M.  The calculations on Worksheet M will use the projected or actual beginning and ending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</si>
  <si>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 xml:space="preserve">Average of the Beginning and Ending Balances </t>
  </si>
  <si>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</si>
  <si>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</si>
  <si>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</si>
  <si>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</si>
  <si>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</si>
  <si>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</si>
  <si>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</si>
  <si>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</si>
  <si>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</si>
  <si>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</si>
  <si>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</si>
  <si>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</si>
  <si>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</si>
  <si>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</si>
  <si>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</si>
  <si>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</si>
  <si>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</si>
  <si>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</si>
  <si>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</si>
  <si>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</si>
  <si>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</si>
  <si>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</si>
  <si>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 xml:space="preserve">Average of the Beginning and End Year Balances </t>
  </si>
  <si>
    <t xml:space="preserve">Average of the Beginning and End Year Balances  </t>
  </si>
  <si>
    <t>Prepaid Insurance</t>
  </si>
  <si>
    <t>Prepaid Lease</t>
  </si>
  <si>
    <t>Prepaid Rents</t>
  </si>
  <si>
    <t>Prepaid Interest</t>
  </si>
  <si>
    <t>Other Prepayments</t>
  </si>
  <si>
    <t>Prepaid Pension Benefits</t>
  </si>
  <si>
    <t>FAS 158 Qual Contra Asset</t>
  </si>
  <si>
    <t>FAS 112 ASSETS</t>
  </si>
  <si>
    <t>Prepaid OCIP Work Comp</t>
  </si>
  <si>
    <t>Prepaid OCIP Work Comp - Aff</t>
  </si>
  <si>
    <t>9280000</t>
  </si>
  <si>
    <t>Regulatory Commission Exp</t>
  </si>
  <si>
    <t>9280001</t>
  </si>
  <si>
    <t>Regulatory Commission Exp-Adm</t>
  </si>
  <si>
    <t>9280002</t>
  </si>
  <si>
    <t>Regulatory Commission Exp-Case</t>
  </si>
  <si>
    <t>9280003</t>
  </si>
  <si>
    <t>9280004</t>
  </si>
  <si>
    <t>9280005</t>
  </si>
  <si>
    <t>9301000</t>
  </si>
  <si>
    <t>General Advertising Expenses</t>
  </si>
  <si>
    <t>9301001</t>
  </si>
  <si>
    <t>Newspaper Advertising Space</t>
  </si>
  <si>
    <t>9301002</t>
  </si>
  <si>
    <t>Radio Station Advertising Time</t>
  </si>
  <si>
    <t>9301003</t>
  </si>
  <si>
    <t>TV Station Advertising Time</t>
  </si>
  <si>
    <t>9301004</t>
  </si>
  <si>
    <t>Newspaper Advertising Prod Exp</t>
  </si>
  <si>
    <t>9301005</t>
  </si>
  <si>
    <t>Radio &amp;TV Advertising Prod Exp</t>
  </si>
  <si>
    <t>9301006</t>
  </si>
  <si>
    <t>Spec Corporate Comm Info Proj</t>
  </si>
  <si>
    <t>9301007</t>
  </si>
  <si>
    <t>Special Adv Space &amp; Prod Exp</t>
  </si>
  <si>
    <t>9301008</t>
  </si>
  <si>
    <t>Direct Mail and Handouts</t>
  </si>
  <si>
    <t>9301009</t>
  </si>
  <si>
    <t>Fairs, Shows, and Exhibits</t>
  </si>
  <si>
    <t>9301010</t>
  </si>
  <si>
    <t>Publicity</t>
  </si>
  <si>
    <t>9301011</t>
  </si>
  <si>
    <t>Dedications, Tours, &amp; Openings</t>
  </si>
  <si>
    <t>9301012</t>
  </si>
  <si>
    <t>Public Opinion Surveys</t>
  </si>
  <si>
    <t>9301013</t>
  </si>
  <si>
    <t>Movies Slide Films &amp; Speeches</t>
  </si>
  <si>
    <t>9301014</t>
  </si>
  <si>
    <t>Video Communications</t>
  </si>
  <si>
    <t>9301015</t>
  </si>
  <si>
    <t>Other Corporate Comm Exp</t>
  </si>
  <si>
    <t>9302000</t>
  </si>
  <si>
    <t>Misc General Expenses</t>
  </si>
  <si>
    <t>9302003</t>
  </si>
  <si>
    <t>Corporate &amp; Fiscal Expenses</t>
  </si>
  <si>
    <t>9302004</t>
  </si>
  <si>
    <t>Research, Develop&amp;Demonstr Exp</t>
  </si>
  <si>
    <t>9302007</t>
  </si>
  <si>
    <t>Assoc Business Development Exp</t>
  </si>
  <si>
    <t>P.263 ln 21  (i)</t>
  </si>
  <si>
    <t>No</t>
  </si>
  <si>
    <t>1650001</t>
  </si>
  <si>
    <t>165000214</t>
  </si>
  <si>
    <t>Prepaid Taxes</t>
  </si>
  <si>
    <t>1650006</t>
  </si>
  <si>
    <t>1650021</t>
  </si>
  <si>
    <t>1650023</t>
  </si>
  <si>
    <t>1650003</t>
  </si>
  <si>
    <t>1650004</t>
  </si>
  <si>
    <t>1650010</t>
  </si>
  <si>
    <t>1650014</t>
  </si>
  <si>
    <t>1650016</t>
  </si>
  <si>
    <t>165000216</t>
  </si>
  <si>
    <t>_________ JURISDICTION</t>
  </si>
  <si>
    <t>Real and Personal Property</t>
  </si>
  <si>
    <t>RTEP ID: b2021 (Add 345/138 kV Transformers at Sporn, Kanawha River, and Muskingum River stations)</t>
  </si>
  <si>
    <t>RTEP ID: b2017 (Reconductor or rebuild Sporn - Waterford - Muskingum River 345 kV line)</t>
  </si>
  <si>
    <t>1650005</t>
  </si>
  <si>
    <t>Prepaid Employee Benefits</t>
  </si>
  <si>
    <t>1650009</t>
  </si>
  <si>
    <t>Prepaid Carry Cost-Factored AR</t>
  </si>
  <si>
    <t>Prepaid Insurance - EIS</t>
  </si>
  <si>
    <t>1650031</t>
  </si>
  <si>
    <t>1650032</t>
  </si>
  <si>
    <t xml:space="preserve">Prepaid OCIP Work Comp LT </t>
  </si>
  <si>
    <t>1650033</t>
  </si>
  <si>
    <t>1650034</t>
  </si>
  <si>
    <t>Prepaid OCIP Work Comp LT- Aff</t>
  </si>
  <si>
    <t>Plant related insurance policies</t>
  </si>
  <si>
    <t>Prepaid lease</t>
  </si>
  <si>
    <t>Labor related Workers' Compensation</t>
  </si>
  <si>
    <t>Regulatory Commission Exp-FERC Trans Case</t>
  </si>
  <si>
    <t xml:space="preserve">West Virginia Excise Tax Rate </t>
  </si>
  <si>
    <t>WEST VIRGINIA JURISDICTION</t>
  </si>
  <si>
    <t>P.263 ln 25 (i)</t>
  </si>
  <si>
    <t>P.263 ln 18 (i)</t>
  </si>
  <si>
    <t>P.263 ln 16 (i)</t>
  </si>
  <si>
    <t>AEP WEST VIRGINIA TRANSMISSION COMPANY</t>
  </si>
  <si>
    <t>RTEP ID: b1661 (Install a 765 kV circuit breaker at Wyoming station)</t>
  </si>
  <si>
    <t>RTEP ID: b1864.1 (Add two additional 345/138 kV transformers at Kammer)</t>
  </si>
  <si>
    <t>RTEP ID: b1948 (Establish a new 765/345 interconnection at Sporn. Install a 765/345 kV transformer at Mountaineer and build ¾ mile of 345 kV to Sporn)</t>
  </si>
  <si>
    <t>RTEP ID: b1962 (Add four 765 kV breakers at Kammer)</t>
  </si>
  <si>
    <t>RTEP ID: b2020 (Rebuild Amos-Kanawha River 138 kV corridor)</t>
  </si>
  <si>
    <t>RTEP ID: b2022 (Terminate Tristate-Kyger Creek 345 kV line at Sporn)</t>
  </si>
  <si>
    <t>RTEP ID: b1875 (138 kV Bradley to McClung upgrades)</t>
  </si>
  <si>
    <t>RTEP ID: b2230 (Replace existing 150 MVAR reactor at Amos 765 kV)</t>
  </si>
  <si>
    <t>RTEP ID: b2423 (Install a 300 MVAR shunt reactor at AEP's Wyoming 765 kV station)</t>
  </si>
  <si>
    <t>BOOK VS. TAX DEPRECIATION</t>
  </si>
  <si>
    <t>R &amp; D DEDUCTION - SECTION 174</t>
  </si>
  <si>
    <t>GAIN/LOSS ON ACRS/MACRS PROPERTY</t>
  </si>
  <si>
    <t>ABFUDC</t>
  </si>
  <si>
    <t>INT EXP CAPITALIZED FOR TAX</t>
  </si>
  <si>
    <t>CIAC - BOOK RECEIPTS</t>
  </si>
  <si>
    <t>TX ACCEL AMORT - CAPITALIZED SOFTWARE</t>
  </si>
  <si>
    <t>CAPITALIZED SOFTWARE COST-BOOK</t>
  </si>
  <si>
    <t>REMOVAL CST</t>
  </si>
  <si>
    <t xml:space="preserve">NON-UTILITY DEFERRED FIT </t>
  </si>
  <si>
    <t>SFAS 109 FLOW-THRU 282.3</t>
  </si>
  <si>
    <t>SFAS 109 EXCESS DFIT 282.4</t>
  </si>
  <si>
    <t>NOL &amp; TAX CREDIT C/F - DEF TAX ASSET</t>
  </si>
  <si>
    <t>PROPERTY TAX-NEW METHOD-BOOK</t>
  </si>
  <si>
    <t>NON-UTILITY DEFERRED FIT 283.2</t>
  </si>
  <si>
    <t>SFAS 109 FLOW-THRU 283.3</t>
  </si>
  <si>
    <t>SFAS 109 EXCESS DFIT 283.4</t>
  </si>
  <si>
    <t>SFAS 133 ADIT FED - SFAS 133 NONAFFIL 2830006</t>
  </si>
  <si>
    <t>ADIT - FED-HDG-CF-INT RATE 2830015</t>
  </si>
  <si>
    <t xml:space="preserve">SFAS 109 - DEFD STATE INCOME TAXES </t>
  </si>
  <si>
    <t>PROV POSS REV REFDS</t>
  </si>
  <si>
    <t>ACCRD COMPANYWIDE INCENTV PLAN</t>
  </si>
  <si>
    <t>ACCRUED INTEREST-LONG-TERM - FIN 48</t>
  </si>
  <si>
    <t>AMT CREDIT - DEFERRED</t>
  </si>
  <si>
    <t>NOL-DEFERRED TAX ASSET RECLASS</t>
  </si>
  <si>
    <t>DEFERRED SIT  1901002</t>
  </si>
  <si>
    <t>SFAS 109 FLOW-THRU 190.3</t>
  </si>
  <si>
    <t>SFAS 109 EXCESS DFIT 190.4</t>
  </si>
  <si>
    <t>SFAS 133 ADIT FED - SFAS NONAFFIL 1900006</t>
  </si>
  <si>
    <t>ADIT FED - PENSION OCI NAF 1900009</t>
  </si>
  <si>
    <t>ADIT-FED-HDG-CF-INT RATE1900015</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</si>
</sst>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409]mmm\-yy;@"/>
    <numFmt numFmtId="198" formatCode="0.000000_)"/>
    <numFmt numFmtId="199" formatCode="#,##0.000000_);\(#,##0.000000\)"/>
    <numFmt numFmtId="200" formatCode="0_);\(0\)"/>
    <numFmt numFmtId="201" formatCode="0.0"/>
    <numFmt numFmtId="202" formatCode="&quot;$&quot;#,##0.0000"/>
    <numFmt numFmtId="203" formatCode="0.00000%"/>
    <numFmt numFmtId="204" formatCode="_(* #,##0.0000_);_(* \(#,##0.0000\);_(* &quot;-&quot;????_);_(@_)"/>
    <numFmt numFmtId="205" formatCode="[$-409]mmmm\ d\,\ yyyy;@"/>
    <numFmt numFmtId="206" formatCode="&quot;Yes&quot;;&quot;Yes&quot;;&quot;No&quot;"/>
    <numFmt numFmtId="207" formatCode="&quot;True&quot;;&quot;True&quot;;&quot;False&quot;"/>
    <numFmt numFmtId="208" formatCode="&quot;On&quot;;&quot;On&quot;;&quot;Off&quot;"/>
    <numFmt numFmtId="209" formatCode="[$€-2]\ #,##0.00_);[Red]\([$€-2]\ #,##0.00\)"/>
    <numFmt numFmtId="210" formatCode="_(* #,##0.0_);_(* \(#,##0.0\);_(* &quot;-&quot;_);_(@_)"/>
    <numFmt numFmtId="211" formatCode="_(* #,##0.00_);_(* \(#,##0.00\);_(* &quot;-&quot;_);_(@_)"/>
    <numFmt numFmtId="212" formatCode="0.0_);\(0.0\)"/>
    <numFmt numFmtId="213" formatCode="_(* #,##0.00000_);_(* \(#,##0.00000\);_(* &quot;-&quot;?????_);_(@_)"/>
    <numFmt numFmtId="214" formatCode="0.0000000000000000%"/>
    <numFmt numFmtId="215" formatCode="_(&quot;$&quot;* #,##0.0_);_(&quot;$&quot;* \(#,##0.0\);_(&quot;$&quot;* &quot;-&quot;??_);_(@_)"/>
    <numFmt numFmtId="216" formatCode="[$-409]dddd\,\ mmmm\ dd\,\ yyyy"/>
    <numFmt numFmtId="217" formatCode="mmmm\ dd\,\ yyyy"/>
    <numFmt numFmtId="218" formatCode="_(&quot;$&quot;* #,##0.000_);_(&quot;$&quot;* \(#,##0.000\);_(&quot;$&quot;* &quot;-&quot;??_);_(@_)"/>
    <numFmt numFmtId="219" formatCode="0.000"/>
    <numFmt numFmtId="220" formatCode="#,##0_);[Red]\(#,##0\);&quot; &quot;"/>
    <numFmt numFmtId="221" formatCode="[$-409]mmmm\-yy;@"/>
    <numFmt numFmtId="222" formatCode="mm/dd/yy"/>
    <numFmt numFmtId="223" formatCode="[$-409]h:mm:ss\ AM/PM"/>
  </numFmts>
  <fonts count="134">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23"/>
      <name val="Helv"/>
      <family val="0"/>
    </font>
    <font>
      <sz val="12"/>
      <color indexed="10"/>
      <name val="Arial MT"/>
      <family val="0"/>
    </font>
    <font>
      <b/>
      <u val="single"/>
      <strike/>
      <sz val="10"/>
      <color indexed="10"/>
      <name val="Arial"/>
      <family val="2"/>
    </font>
    <font>
      <u val="single"/>
      <strike/>
      <sz val="10"/>
      <color indexed="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0"/>
      <name val="Arial MT"/>
      <family val="0"/>
    </font>
    <font>
      <sz val="12"/>
      <name val="Arial Black"/>
      <family val="2"/>
    </font>
    <font>
      <sz val="10"/>
      <color indexed="12"/>
      <name val="Courier"/>
      <family val="3"/>
    </font>
    <font>
      <i/>
      <sz val="12"/>
      <name val="Arial Condensed Bold"/>
      <family val="0"/>
    </font>
    <font>
      <b/>
      <i/>
      <sz val="12"/>
      <name val="Arial MT"/>
      <family val="0"/>
    </font>
    <font>
      <b/>
      <u val="single"/>
      <sz val="12"/>
      <name val="Arial MT"/>
      <family val="0"/>
    </font>
    <font>
      <b/>
      <u val="single"/>
      <strike/>
      <sz val="12"/>
      <color indexed="10"/>
      <name val="Arial"/>
      <family val="2"/>
    </font>
    <font>
      <sz val="10"/>
      <name val="Tahoma"/>
      <family val="2"/>
    </font>
    <font>
      <sz val="8"/>
      <name val="Tahoma"/>
      <family val="2"/>
    </font>
    <font>
      <b/>
      <i/>
      <u val="single"/>
      <sz val="10"/>
      <name val="Arial"/>
      <family val="2"/>
    </font>
    <font>
      <b/>
      <sz val="12"/>
      <name val="Arial Condensed Bold"/>
      <family val="0"/>
    </font>
    <font>
      <sz val="10"/>
      <color indexed="17"/>
      <name val="Arial"/>
      <family val="2"/>
    </font>
    <font>
      <b/>
      <sz val="10"/>
      <color indexed="17"/>
      <name val="Arial"/>
      <family val="2"/>
    </font>
    <font>
      <i/>
      <sz val="14"/>
      <name val="Arial"/>
      <family val="2"/>
    </font>
    <font>
      <sz val="12"/>
      <color indexed="8"/>
      <name val="Helv"/>
      <family val="0"/>
    </font>
    <font>
      <sz val="12"/>
      <color indexed="8"/>
      <name val="Arial"/>
      <family val="2"/>
    </font>
    <font>
      <i/>
      <sz val="14"/>
      <name val="Helv"/>
      <family val="0"/>
    </font>
    <font>
      <sz val="12"/>
      <name val="Arial Narrow"/>
      <family val="2"/>
    </font>
    <font>
      <b/>
      <sz val="12"/>
      <name val="Arial Narrow"/>
      <family val="2"/>
    </font>
    <font>
      <b/>
      <u val="single"/>
      <sz val="12"/>
      <name val="Arial Narrow"/>
      <family val="2"/>
    </font>
    <font>
      <sz val="11"/>
      <color indexed="12"/>
      <name val="Arial"/>
      <family val="2"/>
    </font>
    <font>
      <u val="singleAccounting"/>
      <sz val="11"/>
      <name val="Arial"/>
      <family val="2"/>
    </font>
    <font>
      <b/>
      <u val="single"/>
      <sz val="11"/>
      <name val="Arial"/>
      <family val="2"/>
    </font>
    <font>
      <strike/>
      <sz val="12"/>
      <color indexed="10"/>
      <name val="Arial"/>
      <family val="2"/>
    </font>
    <font>
      <sz val="10"/>
      <color indexed="40"/>
      <name val="Arial"/>
      <family val="2"/>
    </font>
    <font>
      <sz val="10"/>
      <color indexed="40"/>
      <name val="Times New Roman"/>
      <family val="1"/>
    </font>
    <font>
      <sz val="13"/>
      <name val="Times New Roman"/>
      <family val="1"/>
    </font>
    <font>
      <sz val="10"/>
      <color indexed="12"/>
      <name val="Times New Roman"/>
      <family val="1"/>
    </font>
    <font>
      <sz val="10"/>
      <name val="Cambria"/>
      <family val="1"/>
    </font>
    <font>
      <sz val="12"/>
      <name val="Cambria"/>
      <family val="1"/>
    </font>
    <font>
      <b/>
      <sz val="12"/>
      <name val="Cambria"/>
      <family val="1"/>
    </font>
    <font>
      <b/>
      <sz val="10"/>
      <name val="Cambria"/>
      <family val="1"/>
    </font>
    <font>
      <b/>
      <u val="single"/>
      <sz val="12"/>
      <name val="Cambria"/>
      <family val="1"/>
    </font>
    <font>
      <sz val="12"/>
      <color indexed="12"/>
      <name val="Cambria"/>
      <family val="1"/>
    </font>
    <font>
      <i/>
      <sz val="10"/>
      <name val="Cambria"/>
      <family val="1"/>
    </font>
    <font>
      <sz val="11"/>
      <color indexed="8"/>
      <name val="Calibri"/>
      <family val="2"/>
    </font>
    <font>
      <i/>
      <sz val="12"/>
      <color indexed="10"/>
      <name val="Arial"/>
      <family val="2"/>
    </font>
    <font>
      <sz val="11"/>
      <color indexed="8"/>
      <name val="Arial"/>
      <family val="2"/>
    </font>
    <font>
      <sz val="11"/>
      <color theme="1"/>
      <name val="Calibri"/>
      <family val="2"/>
    </font>
    <font>
      <sz val="11"/>
      <color theme="1"/>
      <name val="Arial"/>
      <family val="2"/>
    </font>
    <font>
      <sz val="10"/>
      <color rgb="FF0000FF"/>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
      <patternFill patternType="solid">
        <fgColor indexed="8"/>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s>
  <borders count="49">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color indexed="8"/>
      </top>
      <bottom>
        <color indexed="63"/>
      </bottom>
    </border>
    <border>
      <left>
        <color indexed="63"/>
      </left>
      <right>
        <color indexed="63"/>
      </right>
      <top>
        <color indexed="63"/>
      </top>
      <bottom style="double"/>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right/>
      <top style="thin">
        <color indexed="8"/>
      </top>
      <bottom/>
    </border>
    <border>
      <left/>
      <right/>
      <top style="double">
        <color indexed="8"/>
      </top>
      <bottom/>
    </border>
    <border>
      <left/>
      <right/>
      <top style="thin">
        <color indexed="8"/>
      </top>
      <bottom style="double">
        <color indexed="8"/>
      </bottom>
    </border>
    <border>
      <left>
        <color indexed="63"/>
      </left>
      <right style="thin"/>
      <top style="thin"/>
      <bottom style="double"/>
    </border>
    <border>
      <left>
        <color indexed="63"/>
      </left>
      <right style="thin"/>
      <top>
        <color indexed="63"/>
      </top>
      <bottom style="double"/>
    </border>
    <border>
      <left style="thin"/>
      <right>
        <color indexed="63"/>
      </right>
      <top style="thin"/>
      <bottom style="double"/>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s>
  <cellStyleXfs count="3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3" fillId="20" borderId="3" applyNumberFormat="0" applyAlignment="0" applyProtection="0"/>
    <xf numFmtId="0" fontId="44" fillId="21" borderId="4"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28" fillId="0" borderId="0" applyFont="0" applyFill="0" applyBorder="0" applyAlignment="0" applyProtection="0"/>
    <xf numFmtId="43" fontId="13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2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2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28" fillId="0" borderId="0" applyFont="0" applyFill="0" applyBorder="0" applyAlignment="0" applyProtection="0"/>
    <xf numFmtId="43" fontId="131" fillId="0" borderId="0" applyFont="0" applyFill="0" applyBorder="0" applyAlignment="0" applyProtection="0"/>
    <xf numFmtId="43" fontId="0" fillId="0" borderId="0" applyFont="0" applyFill="0" applyBorder="0" applyAlignment="0" applyProtection="0"/>
    <xf numFmtId="43" fontId="12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2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28" fillId="0" borderId="0" applyFont="0" applyFill="0" applyBorder="0" applyAlignment="0" applyProtection="0"/>
    <xf numFmtId="44" fontId="131"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0" fillId="7"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52" fillId="22" borderId="0" applyNumberFormat="0" applyBorder="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131"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131" fillId="0" borderId="0">
      <alignment/>
      <protection/>
    </xf>
    <xf numFmtId="0" fontId="0" fillId="0" borderId="0">
      <alignment/>
      <protection/>
    </xf>
    <xf numFmtId="0" fontId="0" fillId="0" borderId="0">
      <alignment/>
      <protection/>
    </xf>
    <xf numFmtId="0" fontId="131"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1" fillId="0" borderId="0">
      <alignment/>
      <protection/>
    </xf>
    <xf numFmtId="0" fontId="0" fillId="0" borderId="0">
      <alignment/>
      <protection/>
    </xf>
    <xf numFmtId="0" fontId="0" fillId="0" borderId="0">
      <alignment/>
      <protection/>
    </xf>
    <xf numFmtId="0" fontId="131" fillId="0" borderId="0">
      <alignment/>
      <protection/>
    </xf>
    <xf numFmtId="0" fontId="0" fillId="0" borderId="0">
      <alignment/>
      <protection/>
    </xf>
    <xf numFmtId="0" fontId="0" fillId="0" borderId="0">
      <alignment/>
      <protection/>
    </xf>
    <xf numFmtId="0" fontId="131" fillId="0" borderId="0">
      <alignment/>
      <protection/>
    </xf>
    <xf numFmtId="0" fontId="0" fillId="0" borderId="0">
      <alignment/>
      <protection/>
    </xf>
    <xf numFmtId="0" fontId="0" fillId="0" borderId="0">
      <alignment/>
      <protection/>
    </xf>
    <xf numFmtId="0" fontId="131"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0" fillId="0" borderId="0">
      <alignment/>
      <protection/>
    </xf>
    <xf numFmtId="172" fontId="1" fillId="0" borderId="0" applyProtection="0">
      <alignment/>
    </xf>
    <xf numFmtId="172" fontId="1" fillId="0" borderId="0" applyProtection="0">
      <alignment/>
    </xf>
    <xf numFmtId="0" fontId="65"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0" fillId="0" borderId="0">
      <alignment/>
      <protection/>
    </xf>
    <xf numFmtId="0" fontId="1" fillId="23" borderId="8" applyNumberFormat="0" applyFont="0" applyAlignment="0" applyProtection="0"/>
    <xf numFmtId="0" fontId="1" fillId="23" borderId="8" applyNumberFormat="0" applyFont="0" applyAlignment="0" applyProtection="0"/>
    <xf numFmtId="0" fontId="53" fillId="20" borderId="9" applyNumberForma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2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28" fillId="0" borderId="0" applyFont="0" applyFill="0" applyBorder="0" applyAlignment="0" applyProtection="0"/>
    <xf numFmtId="9" fontId="131" fillId="0" borderId="0" applyFont="0" applyFill="0" applyBorder="0" applyAlignment="0" applyProtection="0"/>
    <xf numFmtId="9" fontId="128"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59"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cellStyleXfs>
  <cellXfs count="1507">
    <xf numFmtId="0" fontId="0" fillId="0" borderId="0" xfId="0" applyAlignment="1">
      <alignment/>
    </xf>
    <xf numFmtId="0" fontId="0" fillId="0" borderId="0" xfId="0" applyAlignment="1">
      <alignment horizontal="center"/>
    </xf>
    <xf numFmtId="0" fontId="0" fillId="0" borderId="0" xfId="0" applyAlignment="1">
      <alignment/>
    </xf>
    <xf numFmtId="3" fontId="3" fillId="0" borderId="0" xfId="0" applyNumberFormat="1" applyFont="1" applyAlignment="1">
      <alignment horizontal="center"/>
    </xf>
    <xf numFmtId="0" fontId="0" fillId="0" borderId="0" xfId="0" applyFont="1" applyAlignment="1">
      <alignment/>
    </xf>
    <xf numFmtId="0" fontId="9" fillId="0" borderId="0" xfId="280" applyFont="1" applyFill="1" applyAlignment="1">
      <alignment horizontal="center"/>
      <protection/>
    </xf>
    <xf numFmtId="0" fontId="14" fillId="0" borderId="0" xfId="280" applyFont="1" applyFill="1">
      <alignment/>
      <protection/>
    </xf>
    <xf numFmtId="0" fontId="0" fillId="0" borderId="0" xfId="0" applyBorder="1" applyAlignment="1">
      <alignment/>
    </xf>
    <xf numFmtId="0" fontId="2" fillId="0" borderId="0" xfId="0" applyFont="1" applyAlignment="1">
      <alignment/>
    </xf>
    <xf numFmtId="0" fontId="0" fillId="0" borderId="0" xfId="0" applyFill="1" applyAlignment="1">
      <alignment/>
    </xf>
    <xf numFmtId="0" fontId="0" fillId="0" borderId="0" xfId="280" applyFont="1" applyFill="1">
      <alignment/>
      <protection/>
    </xf>
    <xf numFmtId="0" fontId="14" fillId="0" borderId="0" xfId="280" applyFont="1" applyFill="1" applyAlignment="1">
      <alignment horizontal="left"/>
      <protection/>
    </xf>
    <xf numFmtId="3" fontId="0" fillId="0" borderId="0" xfId="0" applyNumberFormat="1" applyFont="1" applyFill="1" applyAlignment="1">
      <alignment/>
    </xf>
    <xf numFmtId="0" fontId="3" fillId="0" borderId="0" xfId="280" applyFont="1" applyFill="1" applyAlignment="1">
      <alignment horizontal="right"/>
      <protection/>
    </xf>
    <xf numFmtId="40" fontId="0" fillId="0" borderId="0" xfId="0" applyNumberFormat="1" applyFont="1" applyFill="1" applyAlignment="1">
      <alignment/>
    </xf>
    <xf numFmtId="0" fontId="0" fillId="0" borderId="0" xfId="280" applyFont="1">
      <alignment/>
      <protection/>
    </xf>
    <xf numFmtId="0" fontId="3" fillId="0" borderId="0" xfId="280" applyFont="1" applyFill="1">
      <alignment/>
      <protection/>
    </xf>
    <xf numFmtId="0" fontId="9" fillId="0" borderId="0" xfId="280" applyFont="1" applyFill="1" applyBorder="1" applyAlignment="1">
      <alignment horizontal="left"/>
      <protection/>
    </xf>
    <xf numFmtId="0" fontId="0" fillId="0" borderId="0" xfId="280" applyFont="1" applyAlignment="1">
      <alignment horizontal="left"/>
      <protection/>
    </xf>
    <xf numFmtId="0" fontId="4" fillId="0" borderId="0" xfId="280" applyFont="1" applyFill="1" applyAlignment="1">
      <alignment horizontal="center"/>
      <protection/>
    </xf>
    <xf numFmtId="0" fontId="3" fillId="0" borderId="0" xfId="0" applyFont="1" applyFill="1" applyAlignment="1">
      <alignment/>
    </xf>
    <xf numFmtId="0" fontId="3" fillId="0" borderId="0" xfId="0" applyFont="1" applyAlignment="1">
      <alignment horizontal="center"/>
    </xf>
    <xf numFmtId="3" fontId="18" fillId="0" borderId="0" xfId="0" applyNumberFormat="1" applyFont="1" applyFill="1" applyAlignment="1">
      <alignment/>
    </xf>
    <xf numFmtId="41" fontId="18" fillId="0" borderId="0" xfId="280" applyNumberFormat="1" applyFont="1" applyFill="1" applyBorder="1">
      <alignment/>
      <protection/>
    </xf>
    <xf numFmtId="0" fontId="24" fillId="0" borderId="0" xfId="280" applyFont="1" applyFill="1" applyAlignment="1">
      <alignment horizontal="left"/>
      <protection/>
    </xf>
    <xf numFmtId="0" fontId="3" fillId="0" borderId="0" xfId="280" applyFont="1" applyFill="1">
      <alignment/>
      <protection/>
    </xf>
    <xf numFmtId="41" fontId="3" fillId="0" borderId="0" xfId="280" applyNumberFormat="1" applyFont="1" applyFill="1">
      <alignment/>
      <protection/>
    </xf>
    <xf numFmtId="41" fontId="3" fillId="0" borderId="0" xfId="280" applyNumberFormat="1" applyFont="1" applyFill="1" applyBorder="1" applyAlignment="1">
      <alignment vertical="top"/>
      <protection/>
    </xf>
    <xf numFmtId="181" fontId="3" fillId="0" borderId="0" xfId="280" applyNumberFormat="1" applyFont="1" applyFill="1">
      <alignment/>
      <protection/>
    </xf>
    <xf numFmtId="41" fontId="3" fillId="0" borderId="0" xfId="280" applyNumberFormat="1" applyFont="1" applyFill="1" applyBorder="1">
      <alignment/>
      <protection/>
    </xf>
    <xf numFmtId="0" fontId="3" fillId="0" borderId="0" xfId="280" applyFont="1" applyFill="1" applyAlignment="1">
      <alignment horizontal="left"/>
      <protection/>
    </xf>
    <xf numFmtId="0" fontId="25" fillId="0" borderId="0" xfId="280" applyFont="1" applyFill="1" applyBorder="1">
      <alignment/>
      <protection/>
    </xf>
    <xf numFmtId="0" fontId="3" fillId="0" borderId="0" xfId="280" applyFont="1" applyFill="1" applyAlignment="1">
      <alignment horizontal="center"/>
      <protection/>
    </xf>
    <xf numFmtId="0" fontId="10" fillId="0" borderId="0" xfId="280" applyFont="1" applyFill="1" applyAlignment="1">
      <alignment horizontal="center"/>
      <protection/>
    </xf>
    <xf numFmtId="173" fontId="3" fillId="0" borderId="0" xfId="280" applyNumberFormat="1" applyFont="1" applyFill="1">
      <alignment/>
      <protection/>
    </xf>
    <xf numFmtId="173" fontId="3" fillId="0" borderId="0" xfId="280" applyNumberFormat="1" applyFont="1" applyFill="1" applyBorder="1" applyAlignment="1">
      <alignment vertical="top"/>
      <protection/>
    </xf>
    <xf numFmtId="41" fontId="3" fillId="0" borderId="13" xfId="280" applyNumberFormat="1" applyFont="1" applyFill="1" applyBorder="1">
      <alignment/>
      <protection/>
    </xf>
    <xf numFmtId="173" fontId="4" fillId="0" borderId="0" xfId="100" applyNumberFormat="1" applyFont="1" applyFill="1" applyAlignment="1">
      <alignment horizontal="center"/>
    </xf>
    <xf numFmtId="0" fontId="3" fillId="0" borderId="0" xfId="280" applyFont="1" applyFill="1" applyAlignment="1">
      <alignment horizontal="center"/>
      <protection/>
    </xf>
    <xf numFmtId="0" fontId="26" fillId="0" borderId="0" xfId="280" applyFont="1" applyFill="1" applyBorder="1">
      <alignment/>
      <protection/>
    </xf>
    <xf numFmtId="0" fontId="10" fillId="0" borderId="0" xfId="280" applyFont="1" applyAlignment="1">
      <alignment horizontal="center"/>
      <protection/>
    </xf>
    <xf numFmtId="41" fontId="3" fillId="0" borderId="13" xfId="280" applyNumberFormat="1" applyFont="1" applyFill="1" applyBorder="1">
      <alignment/>
      <protection/>
    </xf>
    <xf numFmtId="38" fontId="0" fillId="0" borderId="0" xfId="0" applyNumberFormat="1" applyFont="1" applyFill="1" applyBorder="1" applyAlignment="1">
      <alignment/>
    </xf>
    <xf numFmtId="40" fontId="3" fillId="0" borderId="0" xfId="280"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43" fontId="3" fillId="0" borderId="0" xfId="280" applyNumberFormat="1" applyFont="1" applyFill="1">
      <alignment/>
      <protection/>
    </xf>
    <xf numFmtId="3" fontId="3" fillId="0" borderId="0" xfId="0" applyNumberFormat="1" applyFont="1" applyFill="1" applyAlignment="1">
      <alignment/>
    </xf>
    <xf numFmtId="0" fontId="0" fillId="0" borderId="0" xfId="0" applyFont="1" applyFill="1" applyAlignment="1">
      <alignment/>
    </xf>
    <xf numFmtId="0" fontId="18" fillId="0" borderId="0" xfId="280" applyFont="1" applyFill="1">
      <alignment/>
      <protection/>
    </xf>
    <xf numFmtId="0" fontId="0" fillId="0" borderId="0" xfId="280" applyFont="1" applyAlignment="1">
      <alignment horizontal="center"/>
      <protection/>
    </xf>
    <xf numFmtId="0" fontId="3" fillId="0" borderId="0" xfId="237" applyFont="1" applyBorder="1" applyAlignment="1">
      <alignment horizontal="center"/>
      <protection/>
    </xf>
    <xf numFmtId="49" fontId="3" fillId="0" borderId="0" xfId="280" applyNumberFormat="1" applyFont="1" applyAlignment="1">
      <alignment horizontal="center"/>
      <protection/>
    </xf>
    <xf numFmtId="3" fontId="3" fillId="0" borderId="0" xfId="0" applyNumberFormat="1" applyFont="1" applyFill="1" applyAlignment="1">
      <alignment horizontal="center"/>
    </xf>
    <xf numFmtId="3" fontId="10" fillId="0" borderId="0" xfId="0" applyNumberFormat="1" applyFont="1" applyFill="1" applyAlignment="1">
      <alignment horizontal="center"/>
    </xf>
    <xf numFmtId="0" fontId="0" fillId="0" borderId="0" xfId="0" applyFont="1" applyAlignment="1">
      <alignment horizontal="center"/>
    </xf>
    <xf numFmtId="0" fontId="66" fillId="0" borderId="0" xfId="289" applyFont="1">
      <alignment/>
      <protection/>
    </xf>
    <xf numFmtId="186" fontId="17" fillId="0" borderId="0" xfId="289" applyNumberFormat="1" applyFont="1" applyAlignment="1">
      <alignment horizontal="center"/>
      <protection/>
    </xf>
    <xf numFmtId="0" fontId="0" fillId="0" borderId="0" xfId="289" applyFont="1">
      <alignment/>
      <protection/>
    </xf>
    <xf numFmtId="0" fontId="17" fillId="0" borderId="0" xfId="289" applyFont="1">
      <alignment/>
      <protection/>
    </xf>
    <xf numFmtId="0" fontId="17" fillId="0" borderId="0" xfId="289" applyNumberFormat="1" applyFont="1" applyAlignment="1">
      <alignment horizontal="center"/>
      <protection/>
    </xf>
    <xf numFmtId="0" fontId="17" fillId="0" borderId="0" xfId="289" applyNumberFormat="1" applyFont="1">
      <alignment/>
      <protection/>
    </xf>
    <xf numFmtId="0" fontId="17" fillId="0" borderId="0" xfId="289" applyNumberFormat="1" applyFont="1" applyBorder="1" applyAlignment="1">
      <alignment horizontal="center"/>
      <protection/>
    </xf>
    <xf numFmtId="0" fontId="68" fillId="0" borderId="0" xfId="289" applyFont="1">
      <alignment/>
      <protection/>
    </xf>
    <xf numFmtId="0" fontId="69" fillId="0" borderId="0" xfId="289" applyFont="1">
      <alignment/>
      <protection/>
    </xf>
    <xf numFmtId="186" fontId="0" fillId="0" borderId="0" xfId="289" applyNumberFormat="1" applyFont="1">
      <alignment/>
      <protection/>
    </xf>
    <xf numFmtId="0" fontId="17" fillId="0" borderId="0" xfId="286" applyFont="1" applyFill="1" applyAlignment="1">
      <alignment horizontal="center"/>
      <protection/>
    </xf>
    <xf numFmtId="0" fontId="17" fillId="0" borderId="0" xfId="286" applyFont="1" applyFill="1" applyAlignment="1">
      <alignment horizontal="left" indent="2"/>
      <protection/>
    </xf>
    <xf numFmtId="39" fontId="17" fillId="0" borderId="0" xfId="286" applyNumberFormat="1" applyFont="1" applyFill="1">
      <alignment/>
      <protection/>
    </xf>
    <xf numFmtId="0" fontId="66" fillId="0" borderId="0" xfId="289" applyFont="1" applyFill="1">
      <alignment/>
      <protection/>
    </xf>
    <xf numFmtId="0" fontId="0" fillId="0" borderId="0" xfId="289" applyNumberFormat="1" applyFont="1" applyAlignment="1">
      <alignment horizontal="center"/>
      <protection/>
    </xf>
    <xf numFmtId="0" fontId="0" fillId="0" borderId="0" xfId="289" applyNumberFormat="1" applyFont="1">
      <alignment/>
      <protection/>
    </xf>
    <xf numFmtId="173" fontId="66" fillId="0" borderId="14" xfId="100" applyNumberFormat="1" applyFont="1" applyBorder="1" applyAlignment="1">
      <alignment/>
    </xf>
    <xf numFmtId="0" fontId="66" fillId="0" borderId="0" xfId="0" applyFont="1" applyAlignment="1">
      <alignment/>
    </xf>
    <xf numFmtId="173" fontId="0" fillId="0" borderId="0" xfId="0" applyNumberFormat="1" applyAlignment="1">
      <alignment/>
    </xf>
    <xf numFmtId="0" fontId="74" fillId="0" borderId="0" xfId="280" applyFont="1" applyFill="1" applyBorder="1" applyAlignment="1">
      <alignment horizontal="left"/>
      <protection/>
    </xf>
    <xf numFmtId="0" fontId="2" fillId="0" borderId="0" xfId="0" applyFont="1" applyAlignment="1">
      <alignment horizontal="center"/>
    </xf>
    <xf numFmtId="0" fontId="2" fillId="0" borderId="0" xfId="237" applyFont="1" applyBorder="1" applyAlignment="1">
      <alignment horizontal="center"/>
      <protection/>
    </xf>
    <xf numFmtId="0" fontId="0" fillId="0" borderId="0" xfId="289" applyNumberFormat="1" applyFont="1" applyFill="1">
      <alignment/>
      <protection/>
    </xf>
    <xf numFmtId="173" fontId="66" fillId="0" borderId="0" xfId="289" applyNumberFormat="1" applyFont="1" applyFill="1">
      <alignment/>
      <protection/>
    </xf>
    <xf numFmtId="3" fontId="2" fillId="0" borderId="0" xfId="0" applyNumberFormat="1" applyFont="1" applyAlignment="1">
      <alignment horizontal="center"/>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173" fontId="0" fillId="0" borderId="0" xfId="100" applyNumberFormat="1" applyFont="1" applyAlignment="1">
      <alignment/>
    </xf>
    <xf numFmtId="0" fontId="14" fillId="0" borderId="0" xfId="280" applyFont="1">
      <alignment/>
      <protection/>
    </xf>
    <xf numFmtId="0" fontId="0" fillId="0" borderId="0" xfId="280" applyAlignment="1">
      <alignment horizontal="left"/>
      <protection/>
    </xf>
    <xf numFmtId="0" fontId="0" fillId="0" borderId="0" xfId="280">
      <alignment/>
      <protection/>
    </xf>
    <xf numFmtId="0" fontId="14" fillId="0" borderId="0" xfId="280" applyFont="1" applyAlignment="1">
      <alignment horizontal="left"/>
      <protection/>
    </xf>
    <xf numFmtId="0" fontId="13" fillId="0" borderId="0" xfId="280" applyFont="1" applyFill="1">
      <alignment/>
      <protection/>
    </xf>
    <xf numFmtId="0" fontId="77" fillId="0" borderId="0" xfId="280" applyFont="1" applyFill="1">
      <alignment/>
      <protection/>
    </xf>
    <xf numFmtId="9" fontId="10" fillId="0" borderId="0" xfId="280" applyNumberFormat="1" applyFont="1" applyFill="1" applyAlignment="1" quotePrefix="1">
      <alignment horizontal="center"/>
      <protection/>
    </xf>
    <xf numFmtId="0" fontId="2" fillId="0" borderId="0" xfId="289" applyNumberFormat="1" applyFont="1" applyAlignment="1">
      <alignment horizontal="center"/>
      <protection/>
    </xf>
    <xf numFmtId="0" fontId="2" fillId="0" borderId="0" xfId="289" applyNumberFormat="1" applyFont="1">
      <alignment/>
      <protection/>
    </xf>
    <xf numFmtId="186" fontId="2" fillId="0" borderId="0" xfId="289" applyNumberFormat="1" applyFont="1" applyAlignment="1">
      <alignment horizontal="center"/>
      <protection/>
    </xf>
    <xf numFmtId="0" fontId="2" fillId="0" borderId="11" xfId="289" applyNumberFormat="1" applyFont="1" applyBorder="1" applyAlignment="1">
      <alignment horizontal="center"/>
      <protection/>
    </xf>
    <xf numFmtId="186" fontId="2" fillId="0" borderId="11" xfId="289" applyNumberFormat="1" applyFont="1" applyBorder="1" applyAlignment="1">
      <alignment horizontal="center"/>
      <protection/>
    </xf>
    <xf numFmtId="174" fontId="0" fillId="0" borderId="0" xfId="137"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64" fontId="0" fillId="0" borderId="0" xfId="301" applyNumberFormat="1" applyFont="1" applyAlignment="1">
      <alignment/>
    </xf>
    <xf numFmtId="173" fontId="82" fillId="0" borderId="0" xfId="289" applyNumberFormat="1" applyFont="1" applyFill="1" applyBorder="1">
      <alignment/>
      <protection/>
    </xf>
    <xf numFmtId="0" fontId="21" fillId="0" borderId="0" xfId="280" applyFont="1" applyFill="1" applyAlignment="1">
      <alignment horizontal="center"/>
      <protection/>
    </xf>
    <xf numFmtId="0" fontId="85" fillId="0" borderId="0" xfId="280" applyFont="1" applyFill="1" applyBorder="1">
      <alignment/>
      <protection/>
    </xf>
    <xf numFmtId="0" fontId="0" fillId="0" borderId="0" xfId="0" applyFont="1" applyAlignment="1">
      <alignment/>
    </xf>
    <xf numFmtId="173" fontId="0" fillId="0" borderId="14" xfId="0" applyNumberFormat="1" applyBorder="1" applyAlignment="1">
      <alignment/>
    </xf>
    <xf numFmtId="9" fontId="0" fillId="0" borderId="0" xfId="301" applyFont="1" applyAlignment="1">
      <alignment/>
    </xf>
    <xf numFmtId="0" fontId="9" fillId="0" borderId="0" xfId="0" applyFont="1" applyAlignment="1">
      <alignment horizontal="center" wrapText="1"/>
    </xf>
    <xf numFmtId="0" fontId="17" fillId="0" borderId="0" xfId="286" applyFont="1" applyFill="1" applyAlignment="1">
      <alignment horizontal="center"/>
      <protection/>
    </xf>
    <xf numFmtId="193" fontId="90" fillId="0" borderId="0" xfId="237"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0" fontId="4" fillId="0" borderId="0" xfId="280" applyFont="1" applyFill="1" applyBorder="1" applyAlignment="1">
      <alignment horizontal="center"/>
      <protection/>
    </xf>
    <xf numFmtId="0" fontId="3" fillId="0" borderId="0" xfId="0" applyFont="1" applyBorder="1" applyAlignment="1">
      <alignment horizontal="center"/>
    </xf>
    <xf numFmtId="0" fontId="2" fillId="0" borderId="0" xfId="289" applyNumberFormat="1" applyFont="1" applyBorder="1" applyAlignment="1">
      <alignment horizontal="center"/>
      <protection/>
    </xf>
    <xf numFmtId="0" fontId="0" fillId="0" borderId="0" xfId="289" applyFont="1" applyBorder="1">
      <alignment/>
      <protection/>
    </xf>
    <xf numFmtId="0" fontId="2" fillId="0" borderId="11" xfId="289" applyNumberFormat="1" applyFont="1" applyBorder="1">
      <alignment/>
      <protection/>
    </xf>
    <xf numFmtId="186" fontId="2" fillId="0" borderId="0" xfId="289" applyNumberFormat="1" applyFont="1" applyBorder="1" applyAlignment="1">
      <alignment horizontal="center"/>
      <protection/>
    </xf>
    <xf numFmtId="0" fontId="0" fillId="0" borderId="0" xfId="289" applyFont="1" applyFill="1">
      <alignment/>
      <protection/>
    </xf>
    <xf numFmtId="173" fontId="72" fillId="0" borderId="0" xfId="289" applyNumberFormat="1" applyFont="1" applyFill="1" applyBorder="1">
      <alignment/>
      <protection/>
    </xf>
    <xf numFmtId="0" fontId="66" fillId="0" borderId="0" xfId="289" applyFont="1" applyAlignment="1">
      <alignment horizontal="center"/>
      <protection/>
    </xf>
    <xf numFmtId="0" fontId="17" fillId="0" borderId="0" xfId="289" applyFont="1" applyFill="1">
      <alignment/>
      <protection/>
    </xf>
    <xf numFmtId="3" fontId="72" fillId="0" borderId="0" xfId="289" applyNumberFormat="1" applyFont="1" applyFill="1" applyBorder="1">
      <alignment/>
      <protection/>
    </xf>
    <xf numFmtId="173" fontId="72" fillId="0" borderId="0" xfId="289" applyNumberFormat="1" applyFont="1" applyFill="1">
      <alignment/>
      <protection/>
    </xf>
    <xf numFmtId="173" fontId="66" fillId="0" borderId="0" xfId="289" applyNumberFormat="1" applyFont="1" applyFill="1" applyBorder="1">
      <alignment/>
      <protection/>
    </xf>
    <xf numFmtId="0" fontId="66" fillId="0" borderId="0" xfId="289" applyFont="1" applyFill="1" applyBorder="1">
      <alignment/>
      <protection/>
    </xf>
    <xf numFmtId="38" fontId="20" fillId="0" borderId="0" xfId="0" applyNumberFormat="1" applyFont="1" applyBorder="1" applyAlignment="1">
      <alignment/>
    </xf>
    <xf numFmtId="176" fontId="1" fillId="0" borderId="15" xfId="291" applyNumberFormat="1" applyBorder="1" applyProtection="1">
      <alignment/>
      <protection/>
    </xf>
    <xf numFmtId="176" fontId="1" fillId="0" borderId="0" xfId="291" applyNumberFormat="1" applyBorder="1" applyProtection="1">
      <alignment/>
      <protection/>
    </xf>
    <xf numFmtId="49" fontId="3" fillId="0" borderId="0" xfId="100" applyNumberFormat="1" applyFont="1" applyAlignment="1">
      <alignment horizontal="center"/>
    </xf>
    <xf numFmtId="0" fontId="91" fillId="0" borderId="0" xfId="289" applyFont="1" applyFill="1" applyBorder="1">
      <alignment/>
      <protection/>
    </xf>
    <xf numFmtId="0" fontId="109" fillId="0" borderId="0" xfId="289" applyFont="1">
      <alignment/>
      <protection/>
    </xf>
    <xf numFmtId="0" fontId="0" fillId="0" borderId="0" xfId="280" applyFont="1" applyFill="1" applyBorder="1">
      <alignment/>
      <protection/>
    </xf>
    <xf numFmtId="0" fontId="3" fillId="0" borderId="0" xfId="280" applyFont="1" applyFill="1" applyAlignment="1">
      <alignment horizontal="center"/>
      <protection/>
    </xf>
    <xf numFmtId="0" fontId="0" fillId="0" borderId="0" xfId="280" applyFont="1" applyFill="1" applyBorder="1">
      <alignment/>
      <protection/>
    </xf>
    <xf numFmtId="0" fontId="9" fillId="0" borderId="0" xfId="0" applyFont="1" applyAlignment="1">
      <alignment horizontal="center"/>
    </xf>
    <xf numFmtId="10" fontId="1" fillId="0" borderId="0" xfId="291" applyNumberFormat="1" applyFill="1" applyProtection="1">
      <alignment/>
      <protection/>
    </xf>
    <xf numFmtId="41" fontId="18" fillId="6" borderId="6" xfId="288" applyNumberFormat="1" applyFont="1" applyFill="1" applyBorder="1" applyAlignment="1" applyProtection="1">
      <alignment/>
      <protection locked="0"/>
    </xf>
    <xf numFmtId="41" fontId="3" fillId="6" borderId="0" xfId="288" applyNumberFormat="1" applyFont="1" applyFill="1" applyAlignment="1" applyProtection="1">
      <alignment/>
      <protection locked="0"/>
    </xf>
    <xf numFmtId="173" fontId="18" fillId="6" borderId="0" xfId="100" applyNumberFormat="1" applyFont="1" applyFill="1" applyAlignment="1" applyProtection="1">
      <alignment horizontal="right"/>
      <protection locked="0"/>
    </xf>
    <xf numFmtId="41" fontId="18" fillId="6" borderId="0" xfId="288" applyNumberFormat="1" applyFont="1" applyFill="1" applyAlignment="1" applyProtection="1">
      <alignment/>
      <protection locked="0"/>
    </xf>
    <xf numFmtId="173" fontId="8" fillId="6" borderId="0" xfId="100" applyNumberFormat="1" applyFont="1" applyFill="1" applyAlignment="1" applyProtection="1">
      <alignment/>
      <protection locked="0"/>
    </xf>
    <xf numFmtId="173" fontId="8" fillId="6" borderId="11" xfId="100" applyNumberFormat="1" applyFont="1" applyFill="1" applyBorder="1" applyAlignment="1" applyProtection="1">
      <alignment/>
      <protection locked="0"/>
    </xf>
    <xf numFmtId="10" fontId="18" fillId="6" borderId="0" xfId="288" applyNumberFormat="1" applyFont="1" applyFill="1" applyProtection="1">
      <alignment/>
      <protection locked="0"/>
    </xf>
    <xf numFmtId="0" fontId="4" fillId="0" borderId="0" xfId="0" applyFont="1" applyAlignment="1">
      <alignment/>
    </xf>
    <xf numFmtId="10" fontId="18" fillId="7" borderId="0" xfId="301" applyNumberFormat="1" applyFont="1" applyFill="1" applyAlignment="1" applyProtection="1">
      <alignment/>
      <protection locked="0"/>
    </xf>
    <xf numFmtId="201" fontId="1" fillId="0" borderId="0" xfId="291" applyNumberFormat="1" applyFill="1" applyProtection="1">
      <alignment/>
      <protection/>
    </xf>
    <xf numFmtId="176" fontId="1" fillId="0" borderId="0" xfId="291" applyNumberFormat="1" applyFill="1" applyBorder="1" applyProtection="1">
      <alignment/>
      <protection/>
    </xf>
    <xf numFmtId="172" fontId="1" fillId="0" borderId="0" xfId="288" applyFont="1" applyAlignment="1" applyProtection="1">
      <alignment/>
      <protection/>
    </xf>
    <xf numFmtId="172" fontId="3" fillId="0" borderId="0" xfId="288" applyFont="1" applyAlignment="1" applyProtection="1">
      <alignment/>
      <protection/>
    </xf>
    <xf numFmtId="0" fontId="0" fillId="0" borderId="0" xfId="0" applyBorder="1" applyAlignment="1" applyProtection="1">
      <alignment/>
      <protection/>
    </xf>
    <xf numFmtId="0" fontId="4" fillId="0" borderId="0" xfId="288" applyNumberFormat="1" applyFont="1" applyBorder="1" applyAlignment="1" applyProtection="1">
      <alignment horizontal="left"/>
      <protection/>
    </xf>
    <xf numFmtId="14" fontId="4" fillId="0" borderId="0" xfId="288" applyNumberFormat="1" applyFont="1" applyBorder="1" applyAlignment="1" applyProtection="1">
      <alignment/>
      <protection/>
    </xf>
    <xf numFmtId="172" fontId="4" fillId="0" borderId="0" xfId="288" applyFont="1" applyFill="1" applyAlignment="1" applyProtection="1">
      <alignment/>
      <protection/>
    </xf>
    <xf numFmtId="172" fontId="3" fillId="0" borderId="0" xfId="288" applyFont="1" applyFill="1" applyAlignment="1" applyProtection="1">
      <alignment/>
      <protection/>
    </xf>
    <xf numFmtId="0" fontId="3" fillId="0" borderId="0" xfId="288"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288" applyNumberFormat="1" applyFont="1" applyProtection="1">
      <alignment/>
      <protection/>
    </xf>
    <xf numFmtId="0" fontId="3" fillId="0" borderId="0" xfId="288" applyNumberFormat="1" applyFont="1" applyAlignment="1" applyProtection="1">
      <alignment horizontal="right"/>
      <protection/>
    </xf>
    <xf numFmtId="0" fontId="18" fillId="0" borderId="0" xfId="100" applyNumberFormat="1" applyFont="1" applyFill="1" applyAlignment="1" applyProtection="1">
      <alignment/>
      <protection/>
    </xf>
    <xf numFmtId="3" fontId="3" fillId="0" borderId="0" xfId="288"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288" applyNumberFormat="1" applyFont="1" applyAlignment="1" applyProtection="1">
      <alignment horizontal="center"/>
      <protection/>
    </xf>
    <xf numFmtId="0" fontId="3" fillId="0" borderId="0" xfId="288" applyNumberFormat="1" applyFont="1" applyAlignment="1" applyProtection="1">
      <alignment horizontal="center"/>
      <protection/>
    </xf>
    <xf numFmtId="49" fontId="3" fillId="0" borderId="0" xfId="288"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288" applyNumberFormat="1" applyFont="1" applyProtection="1">
      <alignment/>
      <protection/>
    </xf>
    <xf numFmtId="39" fontId="3" fillId="0" borderId="0" xfId="100" applyNumberFormat="1" applyFont="1" applyAlignment="1" applyProtection="1">
      <alignment horizontal="center"/>
      <protection/>
    </xf>
    <xf numFmtId="0" fontId="1" fillId="0" borderId="6" xfId="288" applyNumberFormat="1" applyFont="1" applyBorder="1" applyAlignment="1" applyProtection="1">
      <alignment horizontal="center"/>
      <protection/>
    </xf>
    <xf numFmtId="0" fontId="3" fillId="0" borderId="0" xfId="288" applyNumberFormat="1" applyFont="1" applyBorder="1" applyAlignment="1" applyProtection="1">
      <alignment horizontal="center"/>
      <protection/>
    </xf>
    <xf numFmtId="0" fontId="3" fillId="0" borderId="6" xfId="288"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288" applyNumberFormat="1" applyFont="1" applyFill="1" applyProtection="1">
      <alignment/>
      <protection/>
    </xf>
    <xf numFmtId="3" fontId="3" fillId="0" borderId="0" xfId="288" applyNumberFormat="1" applyFont="1" applyProtection="1">
      <alignment/>
      <protection/>
    </xf>
    <xf numFmtId="0" fontId="3" fillId="0" borderId="0" xfId="288" applyNumberFormat="1" applyFont="1" applyAlignment="1" applyProtection="1">
      <alignment horizontal="left"/>
      <protection/>
    </xf>
    <xf numFmtId="170" fontId="3" fillId="0" borderId="0" xfId="288" applyNumberFormat="1" applyFont="1" applyProtection="1">
      <alignment/>
      <protection/>
    </xf>
    <xf numFmtId="3" fontId="3" fillId="0" borderId="0" xfId="288" applyNumberFormat="1" applyFont="1" applyFill="1" applyAlignment="1" applyProtection="1">
      <alignment horizontal="left"/>
      <protection/>
    </xf>
    <xf numFmtId="3" fontId="3" fillId="0" borderId="0" xfId="288" applyNumberFormat="1" applyFont="1" applyFill="1" applyAlignment="1" applyProtection="1">
      <alignment/>
      <protection/>
    </xf>
    <xf numFmtId="0" fontId="3" fillId="0" borderId="6" xfId="288"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288" applyNumberFormat="1" applyFont="1" applyFill="1" applyBorder="1" applyAlignment="1" applyProtection="1">
      <alignment/>
      <protection/>
    </xf>
    <xf numFmtId="3" fontId="3" fillId="0" borderId="0" xfId="288" applyNumberFormat="1" applyFont="1" applyFill="1" applyAlignment="1" applyProtection="1">
      <alignment horizontal="center"/>
      <protection/>
    </xf>
    <xf numFmtId="165" fontId="3" fillId="0" borderId="0" xfId="288" applyNumberFormat="1" applyFont="1" applyFill="1" applyAlignment="1" applyProtection="1">
      <alignment horizontal="right"/>
      <protection/>
    </xf>
    <xf numFmtId="42" fontId="3" fillId="0" borderId="0" xfId="288" applyNumberFormat="1" applyFont="1" applyBorder="1" applyAlignment="1" applyProtection="1">
      <alignment/>
      <protection/>
    </xf>
    <xf numFmtId="0" fontId="1" fillId="0" borderId="0" xfId="288" applyNumberFormat="1" applyFont="1" applyFill="1" applyAlignment="1" applyProtection="1">
      <alignment horizontal="center"/>
      <protection/>
    </xf>
    <xf numFmtId="0" fontId="3" fillId="0" borderId="0" xfId="288"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288" applyNumberFormat="1" applyFont="1" applyAlignment="1" applyProtection="1">
      <alignment horizontal="left"/>
      <protection/>
    </xf>
    <xf numFmtId="3" fontId="3" fillId="0" borderId="0" xfId="288" applyNumberFormat="1" applyFont="1" applyAlignment="1" applyProtection="1">
      <alignment horizontal="center"/>
      <protection/>
    </xf>
    <xf numFmtId="174" fontId="3" fillId="0" borderId="14" xfId="288" applyNumberFormat="1" applyFont="1" applyBorder="1" applyAlignment="1" applyProtection="1">
      <alignment/>
      <protection/>
    </xf>
    <xf numFmtId="42" fontId="3" fillId="0" borderId="0" xfId="288" applyNumberFormat="1" applyFont="1" applyAlignment="1" applyProtection="1">
      <alignment/>
      <protection/>
    </xf>
    <xf numFmtId="172" fontId="71" fillId="0" borderId="0" xfId="288" applyFont="1" applyAlignment="1" applyProtection="1">
      <alignment horizontal="center" wrapText="1"/>
      <protection/>
    </xf>
    <xf numFmtId="0" fontId="3" fillId="0" borderId="0" xfId="0" applyNumberFormat="1" applyFont="1" applyFill="1" applyAlignment="1" applyProtection="1">
      <alignment/>
      <protection/>
    </xf>
    <xf numFmtId="42" fontId="3" fillId="0" borderId="0" xfId="288" applyNumberFormat="1" applyFont="1" applyFill="1" applyAlignment="1" applyProtection="1">
      <alignment/>
      <protection/>
    </xf>
    <xf numFmtId="41" fontId="3" fillId="0" borderId="0" xfId="288" applyNumberFormat="1" applyFont="1" applyFill="1" applyAlignment="1" applyProtection="1">
      <alignment/>
      <protection/>
    </xf>
    <xf numFmtId="43" fontId="3" fillId="0" borderId="0" xfId="100" applyFont="1" applyAlignment="1" applyProtection="1">
      <alignment/>
      <protection/>
    </xf>
    <xf numFmtId="0" fontId="3" fillId="0" borderId="0" xfId="288" applyNumberFormat="1" applyFont="1" applyFill="1" applyAlignment="1" applyProtection="1">
      <alignment/>
      <protection/>
    </xf>
    <xf numFmtId="171" fontId="3" fillId="0" borderId="0" xfId="288" applyNumberFormat="1" applyFont="1" applyProtection="1">
      <alignment/>
      <protection/>
    </xf>
    <xf numFmtId="10" fontId="3" fillId="0" borderId="0" xfId="288" applyNumberFormat="1" applyFont="1" applyAlignment="1" applyProtection="1">
      <alignment/>
      <protection/>
    </xf>
    <xf numFmtId="10" fontId="3" fillId="0" borderId="0" xfId="288" applyNumberFormat="1" applyFont="1" applyProtection="1">
      <alignment/>
      <protection/>
    </xf>
    <xf numFmtId="0" fontId="0" fillId="0" borderId="0" xfId="0" applyFont="1" applyAlignment="1" applyProtection="1">
      <alignment/>
      <protection/>
    </xf>
    <xf numFmtId="10" fontId="3" fillId="0" borderId="0" xfId="301" applyNumberFormat="1" applyFont="1" applyFill="1" applyAlignment="1" applyProtection="1">
      <alignment/>
      <protection/>
    </xf>
    <xf numFmtId="187" fontId="3" fillId="0" borderId="0" xfId="288" applyNumberFormat="1" applyFont="1" applyProtection="1">
      <alignment/>
      <protection/>
    </xf>
    <xf numFmtId="0" fontId="3" fillId="0" borderId="0" xfId="0" applyNumberFormat="1" applyFont="1" applyFill="1" applyAlignment="1" applyProtection="1">
      <alignment/>
      <protection/>
    </xf>
    <xf numFmtId="41" fontId="3" fillId="0" borderId="0" xfId="288" applyNumberFormat="1" applyFont="1" applyAlignment="1" applyProtection="1">
      <alignment horizontal="center"/>
      <protection/>
    </xf>
    <xf numFmtId="41" fontId="3" fillId="0" borderId="14" xfId="288" applyNumberFormat="1" applyFont="1" applyBorder="1" applyAlignment="1" applyProtection="1">
      <alignment horizontal="center"/>
      <protection/>
    </xf>
    <xf numFmtId="41" fontId="3" fillId="0" borderId="0" xfId="288" applyNumberFormat="1" applyFont="1" applyAlignment="1" applyProtection="1">
      <alignment horizontal="right"/>
      <protection/>
    </xf>
    <xf numFmtId="42" fontId="3" fillId="0" borderId="0" xfId="301" applyNumberFormat="1" applyFont="1" applyAlignment="1" applyProtection="1">
      <alignment/>
      <protection/>
    </xf>
    <xf numFmtId="43" fontId="3" fillId="0" borderId="0" xfId="288" applyNumberFormat="1" applyFont="1" applyAlignment="1" applyProtection="1">
      <alignment horizontal="right"/>
      <protection/>
    </xf>
    <xf numFmtId="43" fontId="3" fillId="0" borderId="0" xfId="100" applyFont="1" applyAlignment="1" applyProtection="1">
      <alignment/>
      <protection/>
    </xf>
    <xf numFmtId="172" fontId="3" fillId="0" borderId="0" xfId="288" applyFont="1" applyAlignment="1" applyProtection="1">
      <alignment horizontal="right"/>
      <protection/>
    </xf>
    <xf numFmtId="0" fontId="0" fillId="0" borderId="0" xfId="0" applyFont="1" applyAlignment="1" applyProtection="1">
      <alignment horizontal="center"/>
      <protection/>
    </xf>
    <xf numFmtId="49" fontId="3" fillId="0" borderId="0" xfId="288" applyNumberFormat="1" applyFont="1" applyAlignment="1" applyProtection="1">
      <alignment horizontal="left"/>
      <protection/>
    </xf>
    <xf numFmtId="0" fontId="1" fillId="0" borderId="0" xfId="288" applyNumberFormat="1" applyFont="1" applyAlignment="1" applyProtection="1">
      <alignment horizontal="center" vertical="center"/>
      <protection/>
    </xf>
    <xf numFmtId="3" fontId="4" fillId="0" borderId="0" xfId="288" applyNumberFormat="1" applyFont="1" applyAlignment="1" applyProtection="1">
      <alignment horizontal="center"/>
      <protection/>
    </xf>
    <xf numFmtId="172" fontId="4" fillId="0" borderId="0" xfId="288" applyFont="1" applyAlignment="1" applyProtection="1">
      <alignment horizontal="center"/>
      <protection/>
    </xf>
    <xf numFmtId="49" fontId="4" fillId="0" borderId="0" xfId="288" applyNumberFormat="1" applyFont="1" applyAlignment="1" applyProtection="1">
      <alignment horizontal="center"/>
      <protection/>
    </xf>
    <xf numFmtId="0" fontId="10" fillId="0" borderId="0" xfId="288" applyNumberFormat="1" applyFont="1" applyAlignment="1" applyProtection="1">
      <alignment horizontal="center"/>
      <protection/>
    </xf>
    <xf numFmtId="172" fontId="10" fillId="0" borderId="0" xfId="288" applyFont="1" applyBorder="1" applyAlignment="1" applyProtection="1">
      <alignment horizontal="center"/>
      <protection/>
    </xf>
    <xf numFmtId="3" fontId="4" fillId="0" borderId="0" xfId="288" applyNumberFormat="1" applyFont="1" applyAlignment="1" applyProtection="1">
      <alignment/>
      <protection/>
    </xf>
    <xf numFmtId="0" fontId="1" fillId="0" borderId="0" xfId="288" applyNumberFormat="1" applyFont="1" applyBorder="1" applyAlignment="1" applyProtection="1">
      <alignment horizontal="center"/>
      <protection/>
    </xf>
    <xf numFmtId="3" fontId="13" fillId="0" borderId="0" xfId="288" applyNumberFormat="1" applyFont="1" applyAlignment="1" applyProtection="1">
      <alignment horizontal="center"/>
      <protection/>
    </xf>
    <xf numFmtId="3" fontId="3" fillId="0" borderId="0" xfId="288" applyNumberFormat="1" applyFont="1" applyFill="1" applyBorder="1" applyAlignment="1" applyProtection="1">
      <alignment horizontal="center"/>
      <protection/>
    </xf>
    <xf numFmtId="0" fontId="24" fillId="0" borderId="0" xfId="288" applyNumberFormat="1" applyFont="1" applyBorder="1" applyAlignment="1" applyProtection="1">
      <alignment/>
      <protection/>
    </xf>
    <xf numFmtId="0" fontId="3" fillId="0" borderId="0" xfId="288" applyNumberFormat="1" applyFont="1" applyAlignment="1" applyProtection="1">
      <alignment horizontal="center" vertical="center"/>
      <protection/>
    </xf>
    <xf numFmtId="0" fontId="3" fillId="0" borderId="0" xfId="288" applyNumberFormat="1" applyFont="1" applyBorder="1" applyAlignment="1" applyProtection="1">
      <alignment vertical="center"/>
      <protection/>
    </xf>
    <xf numFmtId="3" fontId="3" fillId="0" borderId="0" xfId="288" applyNumberFormat="1" applyFont="1" applyFill="1" applyAlignment="1" applyProtection="1">
      <alignment vertical="center" wrapText="1"/>
      <protection/>
    </xf>
    <xf numFmtId="3" fontId="3" fillId="0" borderId="0" xfId="288" applyNumberFormat="1" applyFont="1" applyFill="1" applyAlignment="1" applyProtection="1">
      <alignment horizontal="center" vertical="center"/>
      <protection/>
    </xf>
    <xf numFmtId="3" fontId="3" fillId="0" borderId="0" xfId="288" applyNumberFormat="1" applyFont="1" applyFill="1" applyAlignment="1" applyProtection="1">
      <alignment vertical="center"/>
      <protection/>
    </xf>
    <xf numFmtId="41" fontId="3" fillId="0" borderId="0" xfId="288" applyNumberFormat="1" applyFont="1" applyFill="1" applyAlignment="1" applyProtection="1">
      <alignment vertical="center"/>
      <protection/>
    </xf>
    <xf numFmtId="3" fontId="3" fillId="0" borderId="0" xfId="288" applyNumberFormat="1" applyFont="1" applyAlignment="1" applyProtection="1">
      <alignment vertical="center"/>
      <protection/>
    </xf>
    <xf numFmtId="0" fontId="3" fillId="0" borderId="0" xfId="288" applyNumberFormat="1" applyFont="1" applyFill="1" applyBorder="1" applyAlignment="1" applyProtection="1">
      <alignment/>
      <protection/>
    </xf>
    <xf numFmtId="0" fontId="3" fillId="0" borderId="0" xfId="288" applyNumberFormat="1" applyFont="1" applyBorder="1" applyAlignment="1" applyProtection="1">
      <alignment/>
      <protection/>
    </xf>
    <xf numFmtId="41" fontId="3" fillId="0" borderId="6" xfId="288" applyNumberFormat="1" applyFont="1" applyFill="1" applyBorder="1" applyAlignment="1" applyProtection="1">
      <alignment/>
      <protection/>
    </xf>
    <xf numFmtId="0" fontId="0" fillId="0" borderId="0" xfId="0" applyFont="1" applyAlignment="1" applyProtection="1">
      <alignment/>
      <protection/>
    </xf>
    <xf numFmtId="172" fontId="4" fillId="0" borderId="0" xfId="288" applyFont="1" applyFill="1" applyAlignment="1" applyProtection="1">
      <alignment horizontal="right"/>
      <protection/>
    </xf>
    <xf numFmtId="178" fontId="4" fillId="0" borderId="0" xfId="288" applyNumberFormat="1" applyFont="1" applyFill="1" applyAlignment="1" applyProtection="1">
      <alignment horizontal="right"/>
      <protection/>
    </xf>
    <xf numFmtId="166" fontId="4" fillId="0" borderId="0" xfId="288" applyNumberFormat="1" applyFont="1" applyFill="1" applyAlignment="1" applyProtection="1">
      <alignment horizontal="right"/>
      <protection/>
    </xf>
    <xf numFmtId="178" fontId="3" fillId="0" borderId="0" xfId="288" applyNumberFormat="1" applyFont="1" applyAlignment="1" applyProtection="1">
      <alignment/>
      <protection/>
    </xf>
    <xf numFmtId="185" fontId="3" fillId="0" borderId="0" xfId="288" applyNumberFormat="1" applyFont="1" applyFill="1" applyAlignment="1" applyProtection="1">
      <alignment/>
      <protection/>
    </xf>
    <xf numFmtId="184" fontId="3" fillId="0" borderId="0" xfId="288" applyNumberFormat="1" applyFont="1" applyFill="1" applyAlignment="1" applyProtection="1">
      <alignment/>
      <protection/>
    </xf>
    <xf numFmtId="3" fontId="4" fillId="0" borderId="0" xfId="288" applyNumberFormat="1" applyFont="1" applyFill="1" applyAlignment="1" applyProtection="1">
      <alignment horizontal="right" vertical="center"/>
      <protection/>
    </xf>
    <xf numFmtId="165" fontId="3" fillId="0" borderId="0" xfId="288" applyNumberFormat="1" applyFont="1" applyFill="1" applyAlignment="1" applyProtection="1">
      <alignment/>
      <protection/>
    </xf>
    <xf numFmtId="0" fontId="3" fillId="0" borderId="0" xfId="288" applyNumberFormat="1" applyFont="1" applyFill="1" applyAlignment="1" applyProtection="1">
      <alignment horizontal="center" vertical="center"/>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164" fontId="3" fillId="0" borderId="0" xfId="288" applyNumberFormat="1" applyFont="1" applyFill="1" applyAlignment="1" applyProtection="1">
      <alignment horizontal="center"/>
      <protection/>
    </xf>
    <xf numFmtId="41" fontId="3" fillId="0" borderId="0" xfId="288" applyNumberFormat="1" applyFont="1" applyAlignment="1" applyProtection="1">
      <alignment/>
      <protection/>
    </xf>
    <xf numFmtId="165" fontId="3" fillId="0" borderId="0" xfId="288" applyNumberFormat="1" applyFont="1" applyAlignment="1" applyProtection="1">
      <alignment/>
      <protection/>
    </xf>
    <xf numFmtId="3" fontId="4" fillId="0" borderId="0" xfId="288" applyNumberFormat="1" applyFont="1" applyFill="1" applyAlignment="1" applyProtection="1">
      <alignment horizontal="right"/>
      <protection/>
    </xf>
    <xf numFmtId="182" fontId="3" fillId="0" borderId="0" xfId="100" applyNumberFormat="1" applyFont="1" applyFill="1" applyAlignment="1" applyProtection="1">
      <alignment/>
      <protection/>
    </xf>
    <xf numFmtId="172" fontId="3" fillId="0" borderId="0" xfId="288" applyFont="1" applyBorder="1" applyAlignment="1" applyProtection="1">
      <alignment/>
      <protection/>
    </xf>
    <xf numFmtId="164" fontId="3" fillId="0" borderId="0" xfId="288" applyNumberFormat="1" applyFont="1" applyFill="1" applyAlignment="1" applyProtection="1">
      <alignment horizontal="left"/>
      <protection/>
    </xf>
    <xf numFmtId="0" fontId="0" fillId="0" borderId="0" xfId="0" applyFont="1" applyFill="1" applyAlignment="1" applyProtection="1">
      <alignment/>
      <protection/>
    </xf>
    <xf numFmtId="175" fontId="3" fillId="0" borderId="0" xfId="288" applyNumberFormat="1" applyFont="1" applyAlignment="1" applyProtection="1">
      <alignment/>
      <protection/>
    </xf>
    <xf numFmtId="41" fontId="3" fillId="0" borderId="0" xfId="288" applyNumberFormat="1" applyFont="1" applyAlignment="1" applyProtection="1">
      <alignment horizontal="center" vertical="center"/>
      <protection/>
    </xf>
    <xf numFmtId="41" fontId="3" fillId="0" borderId="6" xfId="288" applyNumberFormat="1" applyFont="1" applyBorder="1" applyAlignment="1" applyProtection="1">
      <alignment/>
      <protection/>
    </xf>
    <xf numFmtId="41" fontId="3" fillId="0" borderId="16" xfId="288" applyNumberFormat="1" applyFont="1" applyBorder="1" applyAlignment="1" applyProtection="1">
      <alignment/>
      <protection/>
    </xf>
    <xf numFmtId="164" fontId="3" fillId="0" borderId="0" xfId="288" applyNumberFormat="1" applyFont="1" applyAlignment="1" applyProtection="1">
      <alignment horizontal="center"/>
      <protection/>
    </xf>
    <xf numFmtId="0" fontId="79" fillId="0" borderId="0" xfId="288" applyNumberFormat="1" applyFont="1" applyAlignment="1" applyProtection="1">
      <alignment horizontal="center"/>
      <protection/>
    </xf>
    <xf numFmtId="3" fontId="3" fillId="0" borderId="0" xfId="288" applyNumberFormat="1" applyFont="1" applyAlignment="1" applyProtection="1">
      <alignment horizontal="right"/>
      <protection/>
    </xf>
    <xf numFmtId="172" fontId="3" fillId="0" borderId="0" xfId="288" applyFont="1" applyAlignment="1" applyProtection="1">
      <alignment horizontal="center"/>
      <protection/>
    </xf>
    <xf numFmtId="172" fontId="3" fillId="0" borderId="0" xfId="288" applyFont="1" applyFill="1" applyAlignment="1" applyProtection="1">
      <alignment horizontal="center"/>
      <protection/>
    </xf>
    <xf numFmtId="0" fontId="0" fillId="0" borderId="0" xfId="0" applyAlignment="1" applyProtection="1">
      <alignment horizontal="center"/>
      <protection/>
    </xf>
    <xf numFmtId="0" fontId="4" fillId="0" borderId="0" xfId="288" applyNumberFormat="1" applyFont="1" applyAlignment="1" applyProtection="1">
      <alignment horizontal="center"/>
      <protection/>
    </xf>
    <xf numFmtId="172" fontId="4" fillId="0" borderId="0" xfId="288" applyFont="1" applyAlignment="1" applyProtection="1">
      <alignment/>
      <protection/>
    </xf>
    <xf numFmtId="3" fontId="10" fillId="0" borderId="0" xfId="288" applyNumberFormat="1" applyFont="1" applyAlignment="1" applyProtection="1">
      <alignment horizontal="center"/>
      <protection/>
    </xf>
    <xf numFmtId="3" fontId="4" fillId="0" borderId="0" xfId="288" applyNumberFormat="1" applyFont="1" applyFill="1" applyAlignment="1" applyProtection="1">
      <alignment/>
      <protection/>
    </xf>
    <xf numFmtId="3" fontId="10" fillId="0" borderId="0" xfId="288" applyNumberFormat="1" applyFont="1" applyFill="1" applyAlignment="1" applyProtection="1">
      <alignment/>
      <protection/>
    </xf>
    <xf numFmtId="3" fontId="10" fillId="0" borderId="0" xfId="288" applyNumberFormat="1" applyFont="1" applyAlignment="1" applyProtection="1">
      <alignment/>
      <protection/>
    </xf>
    <xf numFmtId="0" fontId="0" fillId="0" borderId="0" xfId="0" applyFont="1" applyBorder="1" applyAlignment="1" applyProtection="1">
      <alignment/>
      <protection/>
    </xf>
    <xf numFmtId="43" fontId="0" fillId="0" borderId="0" xfId="100" applyNumberFormat="1" applyFont="1" applyAlignment="1" applyProtection="1">
      <alignment/>
      <protection/>
    </xf>
    <xf numFmtId="41" fontId="3" fillId="0" borderId="0" xfId="288" applyNumberFormat="1" applyFont="1" applyFill="1" applyAlignment="1" applyProtection="1">
      <alignment horizontal="center"/>
      <protection/>
    </xf>
    <xf numFmtId="3" fontId="86" fillId="0" borderId="0" xfId="288" applyNumberFormat="1" applyFont="1" applyFill="1" applyAlignment="1" applyProtection="1">
      <alignment horizontal="right"/>
      <protection/>
    </xf>
    <xf numFmtId="41" fontId="3" fillId="0" borderId="0" xfId="288" applyNumberFormat="1" applyFont="1" applyBorder="1" applyAlignment="1" applyProtection="1">
      <alignment/>
      <protection/>
    </xf>
    <xf numFmtId="3" fontId="3" fillId="0" borderId="0" xfId="288" applyNumberFormat="1" applyFont="1" applyAlignment="1" applyProtection="1">
      <alignment vertical="center" wrapText="1"/>
      <protection/>
    </xf>
    <xf numFmtId="41" fontId="86" fillId="0" borderId="0" xfId="288" applyNumberFormat="1" applyFont="1" applyFill="1" applyAlignment="1" applyProtection="1">
      <alignment horizontal="right"/>
      <protection/>
    </xf>
    <xf numFmtId="3" fontId="3" fillId="0" borderId="0" xfId="288" applyNumberFormat="1" applyFont="1" applyAlignment="1" applyProtection="1">
      <alignment horizontal="center" vertical="center"/>
      <protection/>
    </xf>
    <xf numFmtId="41" fontId="3" fillId="0" borderId="0" xfId="288" applyNumberFormat="1" applyFont="1" applyAlignment="1" applyProtection="1">
      <alignment vertical="center"/>
      <protection/>
    </xf>
    <xf numFmtId="3" fontId="3" fillId="0" borderId="0" xfId="288" applyNumberFormat="1" applyFont="1" applyAlignment="1" applyProtection="1">
      <alignment horizontal="left" wrapText="1"/>
      <protection/>
    </xf>
    <xf numFmtId="0" fontId="0" fillId="0" borderId="0" xfId="0" applyFont="1" applyAlignment="1" applyProtection="1">
      <alignment horizontal="left" wrapText="1"/>
      <protection/>
    </xf>
    <xf numFmtId="3" fontId="3" fillId="0" borderId="0" xfId="288" applyNumberFormat="1" applyFont="1" applyFill="1" applyAlignment="1" applyProtection="1">
      <alignment horizontal="right"/>
      <protection/>
    </xf>
    <xf numFmtId="43" fontId="3" fillId="0" borderId="0" xfId="301" applyNumberFormat="1" applyFont="1" applyFill="1" applyAlignment="1" applyProtection="1">
      <alignment/>
      <protection/>
    </xf>
    <xf numFmtId="166" fontId="3" fillId="0" borderId="0" xfId="288" applyNumberFormat="1" applyFont="1" applyAlignment="1" applyProtection="1">
      <alignment/>
      <protection/>
    </xf>
    <xf numFmtId="182" fontId="3" fillId="0" borderId="0" xfId="100" applyNumberFormat="1" applyFont="1" applyAlignment="1" applyProtection="1">
      <alignment/>
      <protection/>
    </xf>
    <xf numFmtId="167" fontId="3" fillId="0" borderId="0" xfId="288" applyNumberFormat="1" applyFont="1" applyAlignment="1" applyProtection="1">
      <alignment/>
      <protection/>
    </xf>
    <xf numFmtId="172" fontId="21" fillId="0" borderId="0" xfId="288" applyFont="1" applyAlignment="1" applyProtection="1">
      <alignment/>
      <protection/>
    </xf>
    <xf numFmtId="164" fontId="3" fillId="0" borderId="0" xfId="288" applyNumberFormat="1" applyFont="1" applyBorder="1" applyAlignment="1" applyProtection="1">
      <alignment horizontal="left"/>
      <protection/>
    </xf>
    <xf numFmtId="168" fontId="3" fillId="0" borderId="0" xfId="288" applyNumberFormat="1" applyFont="1" applyAlignment="1" applyProtection="1">
      <alignment/>
      <protection/>
    </xf>
    <xf numFmtId="10" fontId="3" fillId="0" borderId="0" xfId="288" applyNumberFormat="1" applyFont="1" applyFill="1" applyAlignment="1" applyProtection="1">
      <alignment horizontal="right"/>
      <protection/>
    </xf>
    <xf numFmtId="10" fontId="0" fillId="0" borderId="0" xfId="301" applyNumberFormat="1" applyFont="1" applyAlignment="1" applyProtection="1">
      <alignment/>
      <protection/>
    </xf>
    <xf numFmtId="3" fontId="21" fillId="0" borderId="0" xfId="288" applyNumberFormat="1" applyFont="1" applyAlignment="1" applyProtection="1">
      <alignment/>
      <protection/>
    </xf>
    <xf numFmtId="167" fontId="3" fillId="0" borderId="0" xfId="288" applyNumberFormat="1" applyFont="1" applyFill="1" applyAlignment="1" applyProtection="1">
      <alignment/>
      <protection/>
    </xf>
    <xf numFmtId="166" fontId="3" fillId="0" borderId="0" xfId="288" applyNumberFormat="1" applyFont="1" applyAlignment="1" applyProtection="1">
      <alignment horizontal="center"/>
      <protection/>
    </xf>
    <xf numFmtId="190" fontId="21" fillId="0" borderId="0" xfId="288" applyNumberFormat="1" applyFont="1" applyAlignment="1" applyProtection="1">
      <alignment horizontal="center"/>
      <protection/>
    </xf>
    <xf numFmtId="191" fontId="3" fillId="0" borderId="0" xfId="288" applyNumberFormat="1" applyFont="1" applyAlignment="1" applyProtection="1">
      <alignment/>
      <protection/>
    </xf>
    <xf numFmtId="164" fontId="3" fillId="0" borderId="0" xfId="288" applyNumberFormat="1" applyFont="1" applyFill="1" applyBorder="1" applyAlignment="1" applyProtection="1">
      <alignment horizontal="left"/>
      <protection/>
    </xf>
    <xf numFmtId="179" fontId="3" fillId="0" borderId="0" xfId="288" applyNumberFormat="1" applyFont="1" applyFill="1" applyAlignment="1" applyProtection="1">
      <alignment horizontal="right"/>
      <protection/>
    </xf>
    <xf numFmtId="187" fontId="3" fillId="0" borderId="0" xfId="100" applyNumberFormat="1" applyFont="1" applyAlignment="1" applyProtection="1">
      <alignment horizontal="center"/>
      <protection/>
    </xf>
    <xf numFmtId="41" fontId="21" fillId="0" borderId="0" xfId="288" applyNumberFormat="1" applyFont="1" applyAlignment="1" applyProtection="1">
      <alignment/>
      <protection/>
    </xf>
    <xf numFmtId="43" fontId="21" fillId="0" borderId="0" xfId="100" applyFont="1" applyAlignment="1" applyProtection="1">
      <alignment/>
      <protection/>
    </xf>
    <xf numFmtId="10" fontId="3" fillId="0" borderId="0" xfId="288" applyNumberFormat="1" applyFont="1" applyFill="1" applyAlignment="1" applyProtection="1">
      <alignment horizontal="left"/>
      <protection/>
    </xf>
    <xf numFmtId="168" fontId="3" fillId="0" borderId="0" xfId="288" applyNumberFormat="1" applyFont="1" applyFill="1" applyAlignment="1" applyProtection="1">
      <alignment horizontal="left"/>
      <protection/>
    </xf>
    <xf numFmtId="0" fontId="0" fillId="0" borderId="0" xfId="0" applyFont="1" applyAlignment="1" applyProtection="1">
      <alignment/>
      <protection/>
    </xf>
    <xf numFmtId="41" fontId="3" fillId="0" borderId="0" xfId="288" applyNumberFormat="1" applyFont="1" applyFill="1" applyAlignment="1" applyProtection="1">
      <alignment horizontal="right"/>
      <protection/>
    </xf>
    <xf numFmtId="179" fontId="3" fillId="0" borderId="0" xfId="288" applyNumberFormat="1" applyFont="1" applyAlignment="1" applyProtection="1">
      <alignment/>
      <protection/>
    </xf>
    <xf numFmtId="173" fontId="3" fillId="0" borderId="0" xfId="288" applyNumberFormat="1" applyFont="1" applyAlignment="1" applyProtection="1">
      <alignment/>
      <protection/>
    </xf>
    <xf numFmtId="164" fontId="3" fillId="0" borderId="0" xfId="288" applyNumberFormat="1" applyFont="1" applyFill="1" applyBorder="1" applyAlignment="1" applyProtection="1">
      <alignment horizontal="left" vertical="center"/>
      <protection/>
    </xf>
    <xf numFmtId="41" fontId="3" fillId="0" borderId="0" xfId="288" applyNumberFormat="1" applyFont="1" applyFill="1" applyAlignment="1" applyProtection="1">
      <alignment horizontal="center" vertical="center"/>
      <protection/>
    </xf>
    <xf numFmtId="180" fontId="3" fillId="0" borderId="0" xfId="288" applyNumberFormat="1" applyFont="1" applyAlignment="1" applyProtection="1">
      <alignment/>
      <protection/>
    </xf>
    <xf numFmtId="173" fontId="3" fillId="0" borderId="14" xfId="100" applyNumberFormat="1" applyFont="1" applyBorder="1" applyAlignment="1" applyProtection="1">
      <alignment/>
      <protection/>
    </xf>
    <xf numFmtId="0" fontId="3" fillId="0" borderId="0" xfId="288" applyNumberFormat="1" applyFont="1" applyFill="1" applyBorder="1" applyAlignment="1" applyProtection="1">
      <alignment horizontal="left"/>
      <protection/>
    </xf>
    <xf numFmtId="0" fontId="4" fillId="0" borderId="0" xfId="288" applyNumberFormat="1" applyFont="1" applyAlignment="1" applyProtection="1">
      <alignment/>
      <protection/>
    </xf>
    <xf numFmtId="0" fontId="3" fillId="0" borderId="0" xfId="0" applyFont="1" applyFill="1" applyAlignment="1" applyProtection="1">
      <alignment horizontal="left"/>
      <protection/>
    </xf>
    <xf numFmtId="0" fontId="3" fillId="0" borderId="0" xfId="288" applyNumberFormat="1" applyFont="1" applyFill="1" applyBorder="1" applyProtection="1">
      <alignment/>
      <protection/>
    </xf>
    <xf numFmtId="3" fontId="3" fillId="0" borderId="0" xfId="288" applyNumberFormat="1" applyFont="1" applyFill="1" applyBorder="1" applyAlignment="1" applyProtection="1">
      <alignment/>
      <protection/>
    </xf>
    <xf numFmtId="172" fontId="3" fillId="0" borderId="0" xfId="288" applyFont="1" applyFill="1" applyBorder="1" applyAlignment="1" applyProtection="1">
      <alignment/>
      <protection/>
    </xf>
    <xf numFmtId="172" fontId="3" fillId="0" borderId="0" xfId="288" applyFont="1" applyFill="1" applyBorder="1" applyAlignment="1" applyProtection="1">
      <alignment horizontal="center"/>
      <protection/>
    </xf>
    <xf numFmtId="3" fontId="3" fillId="0" borderId="0" xfId="288" applyNumberFormat="1" applyFont="1" applyFill="1" applyBorder="1" applyAlignment="1" applyProtection="1">
      <alignment horizontal="left"/>
      <protection/>
    </xf>
    <xf numFmtId="0" fontId="3" fillId="0" borderId="0" xfId="288" applyNumberFormat="1" applyFont="1" applyFill="1" applyBorder="1" applyAlignment="1" applyProtection="1">
      <alignment horizontal="center"/>
      <protection/>
    </xf>
    <xf numFmtId="49" fontId="3" fillId="0" borderId="0" xfId="288" applyNumberFormat="1" applyFont="1" applyFill="1" applyBorder="1" applyProtection="1">
      <alignment/>
      <protection/>
    </xf>
    <xf numFmtId="49" fontId="3" fillId="0" borderId="0" xfId="288" applyNumberFormat="1" applyFont="1" applyFill="1" applyBorder="1" applyAlignment="1" applyProtection="1">
      <alignment/>
      <protection/>
    </xf>
    <xf numFmtId="49" fontId="3" fillId="0" borderId="0" xfId="288" applyNumberFormat="1" applyFont="1" applyFill="1" applyBorder="1" applyAlignment="1" applyProtection="1">
      <alignment horizontal="center"/>
      <protection/>
    </xf>
    <xf numFmtId="3" fontId="4" fillId="0" borderId="0" xfId="288" applyNumberFormat="1" applyFont="1" applyFill="1" applyBorder="1" applyAlignment="1" applyProtection="1">
      <alignment horizontal="right"/>
      <protection/>
    </xf>
    <xf numFmtId="165" fontId="4" fillId="0" borderId="0" xfId="288" applyNumberFormat="1" applyFont="1" applyFill="1" applyBorder="1" applyAlignment="1" applyProtection="1">
      <alignment horizontal="right"/>
      <protection/>
    </xf>
    <xf numFmtId="0" fontId="4" fillId="0" borderId="0" xfId="288" applyNumberFormat="1" applyFont="1" applyFill="1" applyAlignment="1" applyProtection="1">
      <alignment/>
      <protection/>
    </xf>
    <xf numFmtId="3" fontId="3" fillId="0" borderId="0" xfId="288" applyNumberFormat="1" applyFont="1" applyFill="1" applyProtection="1">
      <alignment/>
      <protection/>
    </xf>
    <xf numFmtId="3" fontId="3" fillId="0" borderId="0" xfId="288" applyNumberFormat="1" applyFont="1" applyFill="1" applyAlignment="1" applyProtection="1">
      <alignment horizontal="center" wrapText="1"/>
      <protection/>
    </xf>
    <xf numFmtId="173" fontId="3" fillId="0" borderId="0" xfId="100" applyNumberFormat="1" applyFont="1" applyFill="1" applyAlignment="1" applyProtection="1">
      <alignment/>
      <protection/>
    </xf>
    <xf numFmtId="4" fontId="3" fillId="0" borderId="0" xfId="288" applyNumberFormat="1" applyFont="1" applyAlignment="1" applyProtection="1">
      <alignment/>
      <protection/>
    </xf>
    <xf numFmtId="172" fontId="4" fillId="0" borderId="0" xfId="288" applyFont="1" applyAlignment="1" applyProtection="1">
      <alignment horizontal="right"/>
      <protection/>
    </xf>
    <xf numFmtId="165" fontId="4" fillId="0" borderId="0" xfId="288" applyNumberFormat="1" applyFont="1" applyAlignment="1" applyProtection="1">
      <alignment/>
      <protection/>
    </xf>
    <xf numFmtId="0" fontId="10" fillId="0" borderId="0" xfId="288" applyNumberFormat="1" applyFont="1" applyFill="1" applyBorder="1" applyAlignment="1" applyProtection="1">
      <alignment/>
      <protection/>
    </xf>
    <xf numFmtId="3" fontId="3" fillId="0" borderId="6" xfId="288" applyNumberFormat="1" applyFont="1" applyFill="1" applyBorder="1" applyAlignment="1" applyProtection="1">
      <alignment horizontal="center"/>
      <protection/>
    </xf>
    <xf numFmtId="41" fontId="4" fillId="0" borderId="0" xfId="288" applyNumberFormat="1" applyFont="1" applyFill="1" applyAlignment="1" applyProtection="1">
      <alignment/>
      <protection/>
    </xf>
    <xf numFmtId="0" fontId="13" fillId="0" borderId="0" xfId="288" applyNumberFormat="1" applyFont="1" applyFill="1" applyBorder="1" applyAlignment="1" applyProtection="1">
      <alignment horizontal="left"/>
      <protection/>
    </xf>
    <xf numFmtId="0" fontId="0" fillId="0" borderId="0" xfId="0" applyFont="1" applyFill="1" applyAlignment="1" applyProtection="1">
      <alignment/>
      <protection/>
    </xf>
    <xf numFmtId="0" fontId="3" fillId="0" borderId="0" xfId="288" applyNumberFormat="1" applyFont="1" applyFill="1" applyAlignment="1" applyProtection="1">
      <alignment horizontal="left"/>
      <protection/>
    </xf>
    <xf numFmtId="0" fontId="3" fillId="0" borderId="6" xfId="288" applyNumberFormat="1" applyFont="1" applyFill="1" applyBorder="1" applyAlignment="1" applyProtection="1">
      <alignment horizontal="center"/>
      <protection/>
    </xf>
    <xf numFmtId="182" fontId="3" fillId="0" borderId="6" xfId="100" applyNumberFormat="1" applyFont="1" applyFill="1" applyBorder="1" applyAlignment="1" applyProtection="1">
      <alignment horizontal="center"/>
      <protection/>
    </xf>
    <xf numFmtId="10" fontId="3" fillId="0" borderId="0" xfId="288" applyNumberFormat="1" applyFont="1" applyFill="1" applyAlignment="1" applyProtection="1">
      <alignment/>
      <protection/>
    </xf>
    <xf numFmtId="169" fontId="3" fillId="0" borderId="0" xfId="288" applyNumberFormat="1" applyFont="1" applyFill="1" applyAlignment="1" applyProtection="1">
      <alignment/>
      <protection/>
    </xf>
    <xf numFmtId="169" fontId="3" fillId="0" borderId="17" xfId="288" applyNumberFormat="1" applyFont="1" applyFill="1" applyBorder="1" applyAlignment="1" applyProtection="1">
      <alignment/>
      <protection/>
    </xf>
    <xf numFmtId="169" fontId="3" fillId="0" borderId="0" xfId="288" applyNumberFormat="1" applyFont="1" applyFill="1" applyBorder="1" applyAlignment="1" applyProtection="1">
      <alignment/>
      <protection/>
    </xf>
    <xf numFmtId="10" fontId="3" fillId="0" borderId="6" xfId="288" applyNumberFormat="1" applyFont="1" applyFill="1" applyBorder="1" applyAlignment="1" applyProtection="1">
      <alignment/>
      <protection/>
    </xf>
    <xf numFmtId="169" fontId="3" fillId="0" borderId="6" xfId="288" applyNumberFormat="1" applyFont="1" applyFill="1" applyBorder="1" applyAlignment="1" applyProtection="1">
      <alignment/>
      <protection/>
    </xf>
    <xf numFmtId="182" fontId="0" fillId="0" borderId="0" xfId="100" applyNumberFormat="1" applyFont="1" applyFill="1" applyAlignment="1" applyProtection="1">
      <alignment/>
      <protection/>
    </xf>
    <xf numFmtId="169" fontId="4" fillId="0" borderId="0" xfId="288" applyNumberFormat="1" applyFont="1" applyFill="1" applyAlignment="1" applyProtection="1">
      <alignment/>
      <protection/>
    </xf>
    <xf numFmtId="0" fontId="1" fillId="7" borderId="0" xfId="288" applyNumberFormat="1" applyFont="1" applyFill="1" applyAlignment="1" applyProtection="1">
      <alignment horizontal="center"/>
      <protection/>
    </xf>
    <xf numFmtId="0" fontId="3" fillId="7" borderId="0" xfId="288" applyNumberFormat="1" applyFont="1" applyFill="1" applyAlignment="1" applyProtection="1">
      <alignment horizontal="center"/>
      <protection/>
    </xf>
    <xf numFmtId="0" fontId="10" fillId="7" borderId="0" xfId="288" applyNumberFormat="1" applyFont="1" applyFill="1" applyBorder="1" applyAlignment="1" applyProtection="1">
      <alignment/>
      <protection/>
    </xf>
    <xf numFmtId="0" fontId="3" fillId="7" borderId="0" xfId="288" applyNumberFormat="1" applyFont="1" applyFill="1" applyBorder="1" applyAlignment="1" applyProtection="1">
      <alignment horizontal="left"/>
      <protection/>
    </xf>
    <xf numFmtId="3" fontId="3" fillId="7" borderId="0" xfId="288" applyNumberFormat="1" applyFont="1" applyFill="1" applyAlignment="1" applyProtection="1">
      <alignment/>
      <protection/>
    </xf>
    <xf numFmtId="172" fontId="3" fillId="7" borderId="0" xfId="288" applyFont="1" applyFill="1" applyAlignment="1" applyProtection="1">
      <alignment/>
      <protection/>
    </xf>
    <xf numFmtId="3" fontId="4" fillId="7" borderId="0" xfId="288" applyNumberFormat="1" applyFont="1" applyFill="1" applyAlignment="1" applyProtection="1">
      <alignment/>
      <protection/>
    </xf>
    <xf numFmtId="166" fontId="4" fillId="7" borderId="0" xfId="288" applyNumberFormat="1" applyFont="1" applyFill="1" applyProtection="1">
      <alignment/>
      <protection/>
    </xf>
    <xf numFmtId="0" fontId="3" fillId="7" borderId="0" xfId="288" applyNumberFormat="1" applyFont="1" applyFill="1" applyBorder="1" applyAlignment="1" applyProtection="1">
      <alignment/>
      <protection/>
    </xf>
    <xf numFmtId="3" fontId="3" fillId="7" borderId="6" xfId="288" applyNumberFormat="1" applyFont="1" applyFill="1" applyBorder="1" applyAlignment="1" applyProtection="1">
      <alignment horizontal="center"/>
      <protection/>
    </xf>
    <xf numFmtId="41" fontId="3" fillId="7" borderId="0" xfId="288" applyNumberFormat="1" applyFont="1" applyFill="1" applyAlignment="1" applyProtection="1">
      <alignment/>
      <protection/>
    </xf>
    <xf numFmtId="0" fontId="13" fillId="7" borderId="0" xfId="288" applyNumberFormat="1" applyFont="1" applyFill="1" applyBorder="1" applyAlignment="1" applyProtection="1">
      <alignment horizontal="left"/>
      <protection/>
    </xf>
    <xf numFmtId="0" fontId="0" fillId="7" borderId="0" xfId="0" applyFill="1" applyAlignment="1" applyProtection="1">
      <alignment/>
      <protection/>
    </xf>
    <xf numFmtId="0" fontId="3" fillId="7" borderId="0" xfId="288" applyNumberFormat="1" applyFont="1" applyFill="1" applyProtection="1">
      <alignment/>
      <protection/>
    </xf>
    <xf numFmtId="0" fontId="0" fillId="7" borderId="0" xfId="0" applyFont="1" applyFill="1" applyAlignment="1" applyProtection="1">
      <alignment/>
      <protection/>
    </xf>
    <xf numFmtId="41" fontId="18" fillId="7" borderId="0" xfId="288" applyNumberFormat="1" applyFont="1" applyFill="1" applyAlignment="1" applyProtection="1">
      <alignment/>
      <protection/>
    </xf>
    <xf numFmtId="10" fontId="3" fillId="7" borderId="0" xfId="301" applyNumberFormat="1" applyFont="1" applyFill="1" applyAlignment="1" applyProtection="1">
      <alignment/>
      <protection/>
    </xf>
    <xf numFmtId="41" fontId="18" fillId="7" borderId="6" xfId="288" applyNumberFormat="1" applyFont="1" applyFill="1" applyBorder="1" applyAlignment="1" applyProtection="1">
      <alignment/>
      <protection/>
    </xf>
    <xf numFmtId="0" fontId="3" fillId="7" borderId="0" xfId="288" applyNumberFormat="1" applyFont="1" applyFill="1" applyAlignment="1" applyProtection="1">
      <alignment horizontal="left"/>
      <protection/>
    </xf>
    <xf numFmtId="3" fontId="21" fillId="7" borderId="0" xfId="288" applyNumberFormat="1" applyFont="1" applyFill="1" applyAlignment="1" applyProtection="1">
      <alignment/>
      <protection/>
    </xf>
    <xf numFmtId="0" fontId="3" fillId="7" borderId="6" xfId="288" applyNumberFormat="1" applyFont="1" applyFill="1" applyBorder="1" applyAlignment="1" applyProtection="1">
      <alignment horizontal="center"/>
      <protection/>
    </xf>
    <xf numFmtId="182" fontId="3" fillId="7" borderId="6" xfId="100" applyNumberFormat="1" applyFont="1" applyFill="1" applyBorder="1" applyAlignment="1" applyProtection="1">
      <alignment horizontal="center"/>
      <protection/>
    </xf>
    <xf numFmtId="10" fontId="3" fillId="7" borderId="0" xfId="288" applyNumberFormat="1" applyFont="1" applyFill="1" applyAlignment="1" applyProtection="1">
      <alignment/>
      <protection/>
    </xf>
    <xf numFmtId="169" fontId="21" fillId="7" borderId="0" xfId="288" applyNumberFormat="1" applyFont="1" applyFill="1" applyAlignment="1" applyProtection="1">
      <alignment/>
      <protection/>
    </xf>
    <xf numFmtId="169" fontId="3" fillId="7" borderId="17" xfId="288" applyNumberFormat="1" applyFont="1" applyFill="1" applyBorder="1" applyAlignment="1" applyProtection="1">
      <alignment/>
      <protection/>
    </xf>
    <xf numFmtId="3" fontId="3" fillId="0" borderId="0" xfId="288" applyNumberFormat="1" applyFont="1" applyAlignment="1" applyProtection="1" quotePrefix="1">
      <alignment/>
      <protection/>
    </xf>
    <xf numFmtId="169" fontId="3" fillId="7" borderId="0" xfId="288" applyNumberFormat="1" applyFont="1" applyFill="1" applyBorder="1" applyAlignment="1" applyProtection="1">
      <alignment/>
      <protection/>
    </xf>
    <xf numFmtId="10" fontId="3" fillId="7" borderId="0" xfId="288" applyNumberFormat="1" applyFont="1" applyFill="1" applyBorder="1" applyAlignment="1" applyProtection="1">
      <alignment/>
      <protection/>
    </xf>
    <xf numFmtId="41" fontId="3" fillId="7" borderId="6" xfId="288" applyNumberFormat="1" applyFont="1" applyFill="1" applyBorder="1" applyAlignment="1" applyProtection="1">
      <alignment/>
      <protection/>
    </xf>
    <xf numFmtId="169" fontId="3" fillId="7" borderId="6" xfId="288" applyNumberFormat="1" applyFont="1" applyFill="1" applyBorder="1" applyAlignment="1" applyProtection="1">
      <alignment/>
      <protection/>
    </xf>
    <xf numFmtId="182" fontId="20" fillId="7" borderId="0" xfId="100" applyNumberFormat="1" applyFont="1" applyFill="1" applyAlignment="1" applyProtection="1">
      <alignment/>
      <protection/>
    </xf>
    <xf numFmtId="3" fontId="4" fillId="7" borderId="0" xfId="288" applyNumberFormat="1" applyFont="1" applyFill="1" applyAlignment="1" applyProtection="1">
      <alignment horizontal="right"/>
      <protection/>
    </xf>
    <xf numFmtId="169" fontId="4" fillId="7" borderId="0" xfId="288" applyNumberFormat="1" applyFont="1" applyFill="1" applyAlignment="1" applyProtection="1">
      <alignment/>
      <protection/>
    </xf>
    <xf numFmtId="3" fontId="4" fillId="0" borderId="0" xfId="288" applyNumberFormat="1" applyFont="1" applyAlignment="1" applyProtection="1" quotePrefix="1">
      <alignment/>
      <protection/>
    </xf>
    <xf numFmtId="0" fontId="0" fillId="0" borderId="0" xfId="0"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172" fontId="3" fillId="0" borderId="0" xfId="288" applyNumberFormat="1" applyFont="1" applyAlignment="1" applyProtection="1">
      <alignment/>
      <protection/>
    </xf>
    <xf numFmtId="172" fontId="3" fillId="0" borderId="0" xfId="288" applyFont="1" applyFill="1" applyAlignment="1" applyProtection="1">
      <alignment horizontal="right"/>
      <protection/>
    </xf>
    <xf numFmtId="172" fontId="10" fillId="0" borderId="0" xfId="288" applyFont="1" applyAlignment="1" applyProtection="1">
      <alignment horizontal="center"/>
      <protection/>
    </xf>
    <xf numFmtId="172" fontId="1" fillId="0" borderId="0" xfId="288" applyFont="1" applyFill="1" applyAlignment="1" applyProtection="1">
      <alignment horizontal="center"/>
      <protection/>
    </xf>
    <xf numFmtId="172" fontId="1" fillId="0" borderId="0" xfId="288" applyFont="1" applyFill="1" applyAlignment="1" applyProtection="1">
      <alignment/>
      <protection/>
    </xf>
    <xf numFmtId="10" fontId="3" fillId="0" borderId="0" xfId="288" applyNumberFormat="1" applyFont="1" applyFill="1" applyProtection="1">
      <alignment/>
      <protection/>
    </xf>
    <xf numFmtId="0" fontId="0" fillId="0" borderId="0" xfId="0" applyFont="1" applyAlignment="1" applyProtection="1">
      <alignment/>
      <protection/>
    </xf>
    <xf numFmtId="0" fontId="20" fillId="0" borderId="0" xfId="0" applyFont="1" applyAlignment="1" applyProtection="1">
      <alignment/>
      <protection/>
    </xf>
    <xf numFmtId="0" fontId="3" fillId="0" borderId="0" xfId="288" applyNumberFormat="1" applyFont="1" applyFill="1" applyAlignment="1" applyProtection="1">
      <alignment/>
      <protection/>
    </xf>
    <xf numFmtId="0" fontId="3" fillId="0" borderId="0" xfId="288" applyNumberFormat="1" applyFont="1" applyFill="1" applyAlignment="1" applyProtection="1">
      <alignment/>
      <protection/>
    </xf>
    <xf numFmtId="0" fontId="3" fillId="0" borderId="0" xfId="288" applyNumberFormat="1" applyFont="1" applyFill="1" applyProtection="1">
      <alignment/>
      <protection/>
    </xf>
    <xf numFmtId="172" fontId="3" fillId="0" borderId="0" xfId="288" applyFont="1" applyFill="1" applyAlignment="1" applyProtection="1">
      <alignment/>
      <protection/>
    </xf>
    <xf numFmtId="0" fontId="3" fillId="0" borderId="0" xfId="0" applyFont="1" applyAlignment="1" applyProtection="1">
      <alignment vertical="top" wrapText="1"/>
      <protection/>
    </xf>
    <xf numFmtId="172" fontId="3" fillId="0" borderId="0" xfId="288" applyFont="1" applyFill="1" applyAlignment="1" applyProtection="1">
      <alignment wrapText="1"/>
      <protection/>
    </xf>
    <xf numFmtId="172" fontId="3" fillId="0" borderId="0" xfId="288" applyFont="1" applyFill="1" applyAlignment="1" applyProtection="1">
      <alignment/>
      <protection/>
    </xf>
    <xf numFmtId="172" fontId="21" fillId="0" borderId="0" xfId="288" applyFont="1" applyFill="1" applyAlignment="1" applyProtection="1">
      <alignment/>
      <protection/>
    </xf>
    <xf numFmtId="0" fontId="1" fillId="0" borderId="0" xfId="288" applyNumberFormat="1" applyFont="1" applyFill="1" applyProtection="1">
      <alignment/>
      <protection/>
    </xf>
    <xf numFmtId="172" fontId="1" fillId="0" borderId="0" xfId="288" applyFont="1" applyFill="1" applyAlignment="1" applyProtection="1">
      <alignment horizontal="center" wrapText="1"/>
      <protection/>
    </xf>
    <xf numFmtId="172" fontId="71" fillId="0" borderId="0" xfId="288" applyFont="1" applyFill="1" applyAlignment="1" applyProtection="1">
      <alignment horizontal="center" wrapText="1"/>
      <protection/>
    </xf>
    <xf numFmtId="0" fontId="0" fillId="25" borderId="0" xfId="0" applyFont="1" applyFill="1" applyAlignment="1" applyProtection="1">
      <alignment/>
      <protection/>
    </xf>
    <xf numFmtId="0" fontId="86" fillId="0" borderId="0" xfId="288" applyNumberFormat="1" applyFont="1" applyFill="1" applyAlignment="1" applyProtection="1">
      <alignment horizontal="center"/>
      <protection/>
    </xf>
    <xf numFmtId="172" fontId="21" fillId="0" borderId="0" xfId="288" applyFont="1" applyAlignment="1" applyProtection="1">
      <alignment wrapText="1"/>
      <protection/>
    </xf>
    <xf numFmtId="173" fontId="18" fillId="0" borderId="0" xfId="100" applyNumberFormat="1" applyFont="1" applyFill="1" applyAlignment="1" applyProtection="1">
      <alignment horizontal="right"/>
      <protection/>
    </xf>
    <xf numFmtId="10" fontId="18" fillId="6" borderId="0" xfId="301" applyNumberFormat="1" applyFont="1" applyFill="1" applyAlignment="1" applyProtection="1">
      <alignment/>
      <protection locked="0"/>
    </xf>
    <xf numFmtId="0" fontId="18" fillId="6" borderId="0" xfId="100" applyNumberFormat="1" applyFont="1" applyFill="1" applyAlignment="1" applyProtection="1">
      <alignment/>
      <protection locked="0"/>
    </xf>
    <xf numFmtId="0" fontId="3" fillId="0" borderId="0" xfId="0" applyFont="1" applyAlignment="1" applyProtection="1">
      <alignment horizontal="center"/>
      <protection/>
    </xf>
    <xf numFmtId="0" fontId="0" fillId="0" borderId="0" xfId="237" applyFont="1" applyBorder="1" applyProtection="1">
      <alignment/>
      <protection/>
    </xf>
    <xf numFmtId="0" fontId="3" fillId="0" borderId="0" xfId="237" applyFont="1" applyBorder="1" applyAlignment="1" applyProtection="1">
      <alignment horizontal="center"/>
      <protection/>
    </xf>
    <xf numFmtId="0" fontId="0" fillId="0" borderId="0" xfId="237" applyFont="1" applyBorder="1" applyAlignment="1" applyProtection="1">
      <alignment horizontal="center"/>
      <protection/>
    </xf>
    <xf numFmtId="0" fontId="16" fillId="0" borderId="0" xfId="280" applyFont="1" applyAlignment="1" applyProtection="1">
      <alignment horizontal="center"/>
      <protection/>
    </xf>
    <xf numFmtId="0" fontId="0" fillId="0" borderId="0" xfId="0" applyFont="1" applyBorder="1" applyAlignment="1" applyProtection="1">
      <alignment/>
      <protection/>
    </xf>
    <xf numFmtId="0" fontId="0" fillId="0" borderId="0" xfId="237" applyFont="1" applyFill="1" applyBorder="1" applyProtection="1">
      <alignment/>
      <protection/>
    </xf>
    <xf numFmtId="0" fontId="0" fillId="0" borderId="0" xfId="237" applyFont="1" applyFill="1" applyBorder="1" applyAlignment="1" applyProtection="1">
      <alignment horizontal="center" wrapText="1"/>
      <protection/>
    </xf>
    <xf numFmtId="0" fontId="9" fillId="0" borderId="0" xfId="237" applyFont="1" applyFill="1" applyBorder="1" applyAlignment="1" applyProtection="1">
      <alignment horizontal="left"/>
      <protection/>
    </xf>
    <xf numFmtId="0" fontId="0" fillId="0" borderId="0" xfId="237" applyFont="1" applyFill="1" applyBorder="1" applyAlignment="1" applyProtection="1">
      <alignment/>
      <protection/>
    </xf>
    <xf numFmtId="0" fontId="0" fillId="0" borderId="0" xfId="237" applyNumberFormat="1" applyFont="1" applyFill="1" applyBorder="1" applyAlignment="1" applyProtection="1">
      <alignment horizontal="center"/>
      <protection/>
    </xf>
    <xf numFmtId="3" fontId="0" fillId="0" borderId="0" xfId="237" applyNumberFormat="1" applyFont="1" applyFill="1" applyBorder="1" applyAlignment="1" applyProtection="1">
      <alignment/>
      <protection/>
    </xf>
    <xf numFmtId="0" fontId="9" fillId="0" borderId="0" xfId="237" applyNumberFormat="1" applyFont="1" applyFill="1" applyBorder="1" applyAlignment="1" applyProtection="1">
      <alignment horizontal="left"/>
      <protection/>
    </xf>
    <xf numFmtId="173" fontId="0" fillId="0" borderId="0" xfId="100" applyNumberFormat="1" applyFont="1" applyFill="1" applyAlignment="1" applyProtection="1">
      <alignment/>
      <protection/>
    </xf>
    <xf numFmtId="173" fontId="0" fillId="0" borderId="0" xfId="105" applyNumberFormat="1" applyFont="1" applyFill="1" applyBorder="1" applyAlignment="1" applyProtection="1">
      <alignment horizontal="right"/>
      <protection/>
    </xf>
    <xf numFmtId="0" fontId="0" fillId="0" borderId="0" xfId="237" applyNumberFormat="1" applyFont="1" applyFill="1" applyBorder="1" applyAlignment="1" applyProtection="1">
      <alignment horizontal="left"/>
      <protection/>
    </xf>
    <xf numFmtId="0" fontId="0" fillId="0" borderId="0" xfId="237" applyFont="1" applyBorder="1" applyAlignment="1" applyProtection="1">
      <alignment/>
      <protection/>
    </xf>
    <xf numFmtId="0" fontId="7" fillId="0" borderId="0" xfId="237" applyFont="1" applyFill="1" applyBorder="1" applyAlignment="1" applyProtection="1">
      <alignment horizontal="left"/>
      <protection/>
    </xf>
    <xf numFmtId="0" fontId="0" fillId="0" borderId="0" xfId="0" applyFont="1" applyAlignment="1" applyProtection="1">
      <alignment/>
      <protection/>
    </xf>
    <xf numFmtId="173" fontId="8" fillId="6" borderId="0" xfId="105" applyNumberFormat="1" applyFont="1" applyFill="1" applyBorder="1" applyAlignment="1" applyProtection="1">
      <alignment horizontal="right"/>
      <protection locked="0"/>
    </xf>
    <xf numFmtId="49" fontId="3" fillId="0" borderId="0" xfId="280" applyNumberFormat="1" applyFont="1" applyAlignment="1" applyProtection="1">
      <alignment horizontal="center"/>
      <protection/>
    </xf>
    <xf numFmtId="0" fontId="0" fillId="0" borderId="0" xfId="0" applyAlignment="1" applyProtection="1">
      <alignment/>
      <protection/>
    </xf>
    <xf numFmtId="0" fontId="9" fillId="0" borderId="0" xfId="237" applyFont="1" applyBorder="1" applyAlignment="1" applyProtection="1">
      <alignment horizontal="center"/>
      <protection/>
    </xf>
    <xf numFmtId="0" fontId="9" fillId="0" borderId="0" xfId="237" applyFont="1" applyFill="1" applyBorder="1" applyAlignment="1" applyProtection="1">
      <alignment horizontal="center"/>
      <protection/>
    </xf>
    <xf numFmtId="0" fontId="9" fillId="0" borderId="0" xfId="237" applyFont="1" applyBorder="1" applyAlignment="1" applyProtection="1">
      <alignment/>
      <protection/>
    </xf>
    <xf numFmtId="0" fontId="12" fillId="0" borderId="0" xfId="0" applyFont="1" applyBorder="1" applyAlignment="1" applyProtection="1">
      <alignment/>
      <protection/>
    </xf>
    <xf numFmtId="3" fontId="12" fillId="0" borderId="0" xfId="237" applyNumberFormat="1" applyFont="1" applyBorder="1" applyAlignment="1" applyProtection="1">
      <alignment horizontal="center"/>
      <protection/>
    </xf>
    <xf numFmtId="0" fontId="9" fillId="0" borderId="0" xfId="237" applyNumberFormat="1" applyFont="1" applyFill="1" applyBorder="1" applyAlignment="1" applyProtection="1">
      <alignment horizontal="center"/>
      <protection/>
    </xf>
    <xf numFmtId="0" fontId="16" fillId="0" borderId="0" xfId="237" applyFont="1" applyFill="1" applyBorder="1" applyAlignment="1" applyProtection="1">
      <alignment horizontal="center"/>
      <protection/>
    </xf>
    <xf numFmtId="0" fontId="12" fillId="0" borderId="0" xfId="237" applyNumberFormat="1" applyFont="1" applyFill="1" applyBorder="1" applyAlignment="1" applyProtection="1">
      <alignment horizontal="left"/>
      <protection/>
    </xf>
    <xf numFmtId="173" fontId="12" fillId="0" borderId="0" xfId="105" applyNumberFormat="1" applyFont="1" applyFill="1" applyBorder="1" applyAlignment="1" applyProtection="1">
      <alignment horizontal="right"/>
      <protection/>
    </xf>
    <xf numFmtId="164" fontId="0" fillId="0" borderId="0" xfId="303" applyNumberFormat="1" applyFont="1" applyFill="1" applyBorder="1" applyAlignment="1" applyProtection="1">
      <alignment/>
      <protection/>
    </xf>
    <xf numFmtId="173" fontId="0" fillId="0" borderId="0" xfId="105" applyNumberFormat="1" applyFont="1" applyFill="1" applyBorder="1" applyAlignment="1" applyProtection="1">
      <alignment horizontal="left"/>
      <protection/>
    </xf>
    <xf numFmtId="0" fontId="8" fillId="0" borderId="0" xfId="237" applyFont="1" applyFill="1" applyBorder="1" applyAlignment="1" applyProtection="1">
      <alignment/>
      <protection/>
    </xf>
    <xf numFmtId="0" fontId="81" fillId="0" borderId="0" xfId="0" applyFont="1" applyBorder="1" applyAlignment="1" applyProtection="1">
      <alignment horizontal="center"/>
      <protection/>
    </xf>
    <xf numFmtId="38" fontId="0" fillId="0" borderId="0" xfId="0" applyNumberFormat="1" applyFont="1" applyFill="1" applyBorder="1" applyAlignment="1" applyProtection="1">
      <alignment/>
      <protection/>
    </xf>
    <xf numFmtId="0" fontId="0" fillId="0" borderId="0" xfId="280" applyFont="1" applyProtection="1">
      <alignment/>
      <protection/>
    </xf>
    <xf numFmtId="0" fontId="0" fillId="20" borderId="0" xfId="237" applyNumberFormat="1" applyFont="1" applyFill="1" applyBorder="1" applyAlignment="1" applyProtection="1">
      <alignment horizontal="center"/>
      <protection/>
    </xf>
    <xf numFmtId="0" fontId="9" fillId="20" borderId="0" xfId="237" applyNumberFormat="1" applyFont="1" applyFill="1" applyBorder="1" applyAlignment="1" applyProtection="1">
      <alignment horizontal="left"/>
      <protection/>
    </xf>
    <xf numFmtId="0" fontId="8" fillId="20" borderId="0" xfId="237" applyFont="1" applyFill="1" applyBorder="1" applyAlignment="1" applyProtection="1">
      <alignment/>
      <protection/>
    </xf>
    <xf numFmtId="0" fontId="0" fillId="20" borderId="0" xfId="237" applyNumberFormat="1" applyFont="1" applyFill="1" applyBorder="1" applyAlignment="1" applyProtection="1">
      <alignment horizontal="left"/>
      <protection/>
    </xf>
    <xf numFmtId="0" fontId="0" fillId="20" borderId="0" xfId="237" applyFont="1" applyFill="1" applyBorder="1" applyProtection="1">
      <alignment/>
      <protection/>
    </xf>
    <xf numFmtId="173" fontId="0" fillId="20" borderId="0" xfId="105" applyNumberFormat="1" applyFont="1" applyFill="1" applyBorder="1" applyAlignment="1" applyProtection="1">
      <alignment horizontal="right"/>
      <protection/>
    </xf>
    <xf numFmtId="0" fontId="0" fillId="20" borderId="0" xfId="0" applyFill="1" applyBorder="1" applyAlignment="1" applyProtection="1">
      <alignment/>
      <protection/>
    </xf>
    <xf numFmtId="164" fontId="0" fillId="20" borderId="0" xfId="303" applyNumberFormat="1" applyFont="1" applyFill="1" applyBorder="1" applyAlignment="1" applyProtection="1">
      <alignment/>
      <protection/>
    </xf>
    <xf numFmtId="173" fontId="0" fillId="20" borderId="0" xfId="105" applyNumberFormat="1" applyFont="1" applyFill="1" applyBorder="1" applyAlignment="1" applyProtection="1">
      <alignment horizontal="left"/>
      <protection/>
    </xf>
    <xf numFmtId="0" fontId="75" fillId="0" borderId="0" xfId="237" applyNumberFormat="1" applyFont="1" applyFill="1" applyBorder="1" applyAlignment="1" applyProtection="1">
      <alignment horizontal="left"/>
      <protection/>
    </xf>
    <xf numFmtId="0" fontId="0" fillId="0" borderId="0" xfId="280" applyFont="1" applyFill="1" applyProtection="1">
      <alignment/>
      <protection/>
    </xf>
    <xf numFmtId="9" fontId="9" fillId="0" borderId="0" xfId="280" applyNumberFormat="1" applyFont="1" applyFill="1" applyAlignment="1" applyProtection="1" quotePrefix="1">
      <alignment horizontal="center"/>
      <protection/>
    </xf>
    <xf numFmtId="0" fontId="9" fillId="0" borderId="0" xfId="280" applyFont="1" applyFill="1" applyAlignment="1" applyProtection="1">
      <alignment horizontal="center"/>
      <protection/>
    </xf>
    <xf numFmtId="0" fontId="64" fillId="0" borderId="0" xfId="280" applyFont="1" applyFill="1" applyAlignment="1" applyProtection="1">
      <alignment horizontal="center"/>
      <protection/>
    </xf>
    <xf numFmtId="0" fontId="16" fillId="0" borderId="0" xfId="280" applyFont="1" applyFill="1" applyAlignment="1" applyProtection="1">
      <alignment horizontal="center"/>
      <protection/>
    </xf>
    <xf numFmtId="0" fontId="80" fillId="0" borderId="0" xfId="280" applyFont="1" applyFill="1" applyAlignment="1" applyProtection="1">
      <alignment horizontal="center"/>
      <protection/>
    </xf>
    <xf numFmtId="38" fontId="0" fillId="0" borderId="0" xfId="237" applyNumberFormat="1" applyFont="1" applyFill="1" applyBorder="1" applyAlignment="1" applyProtection="1">
      <alignment horizontal="right"/>
      <protection/>
    </xf>
    <xf numFmtId="37" fontId="0" fillId="0" borderId="0" xfId="237" applyNumberFormat="1" applyFont="1" applyFill="1" applyBorder="1" applyAlignment="1" applyProtection="1">
      <alignment horizontal="right"/>
      <protection/>
    </xf>
    <xf numFmtId="0" fontId="0" fillId="0" borderId="0" xfId="237" applyNumberFormat="1" applyFont="1" applyFill="1" applyBorder="1" applyAlignment="1" applyProtection="1">
      <alignment horizontal="right"/>
      <protection/>
    </xf>
    <xf numFmtId="38" fontId="0" fillId="0" borderId="0" xfId="0" applyNumberFormat="1" applyFont="1" applyBorder="1" applyAlignment="1" applyProtection="1">
      <alignment horizontal="right"/>
      <protection/>
    </xf>
    <xf numFmtId="38" fontId="8" fillId="0" borderId="0" xfId="237" applyNumberFormat="1" applyFont="1" applyFill="1" applyBorder="1" applyAlignment="1" applyProtection="1">
      <alignment/>
      <protection/>
    </xf>
    <xf numFmtId="37" fontId="8" fillId="0" borderId="0" xfId="237" applyNumberFormat="1" applyFont="1" applyFill="1" applyBorder="1" applyAlignment="1" applyProtection="1">
      <alignment/>
      <protection/>
    </xf>
    <xf numFmtId="0" fontId="9" fillId="0" borderId="0" xfId="237" applyFont="1" applyBorder="1" applyProtection="1">
      <alignment/>
      <protection/>
    </xf>
    <xf numFmtId="173" fontId="8" fillId="0" borderId="14" xfId="100" applyNumberFormat="1" applyFont="1" applyFill="1" applyBorder="1" applyAlignment="1" applyProtection="1">
      <alignment/>
      <protection/>
    </xf>
    <xf numFmtId="0" fontId="0" fillId="0" borderId="14" xfId="237" applyNumberFormat="1" applyFont="1" applyFill="1" applyBorder="1" applyAlignment="1" applyProtection="1">
      <alignment horizontal="left"/>
      <protection/>
    </xf>
    <xf numFmtId="173" fontId="0" fillId="0" borderId="14" xfId="105" applyNumberFormat="1" applyFont="1" applyFill="1" applyBorder="1" applyAlignment="1" applyProtection="1">
      <alignment horizontal="right"/>
      <protection/>
    </xf>
    <xf numFmtId="0" fontId="0" fillId="0" borderId="0" xfId="280" applyFill="1" applyAlignment="1" applyProtection="1">
      <alignment horizontal="left"/>
      <protection/>
    </xf>
    <xf numFmtId="0" fontId="0" fillId="0" borderId="0" xfId="280" applyFill="1" applyProtection="1">
      <alignment/>
      <protection/>
    </xf>
    <xf numFmtId="0" fontId="74" fillId="0" borderId="0" xfId="280" applyFont="1" applyFill="1" applyBorder="1" applyProtection="1">
      <alignment/>
      <protection/>
    </xf>
    <xf numFmtId="173" fontId="0" fillId="0" borderId="0" xfId="100" applyNumberFormat="1" applyAlignment="1" applyProtection="1">
      <alignment/>
      <protection/>
    </xf>
    <xf numFmtId="173" fontId="0" fillId="0" borderId="0" xfId="100" applyNumberFormat="1" applyFill="1" applyAlignment="1" applyProtection="1">
      <alignment/>
      <protection/>
    </xf>
    <xf numFmtId="173" fontId="0" fillId="0" borderId="0" xfId="100" applyNumberFormat="1" applyFont="1" applyFill="1" applyAlignment="1" applyProtection="1">
      <alignment/>
      <protection/>
    </xf>
    <xf numFmtId="173" fontId="0" fillId="0" borderId="0" xfId="100" applyNumberFormat="1" applyFont="1" applyFill="1" applyAlignment="1" applyProtection="1">
      <alignment/>
      <protection/>
    </xf>
    <xf numFmtId="0" fontId="9" fillId="0" borderId="0" xfId="280" applyFont="1" applyFill="1" applyBorder="1" applyProtection="1">
      <alignment/>
      <protection/>
    </xf>
    <xf numFmtId="38" fontId="0" fillId="0" borderId="17" xfId="0" applyNumberFormat="1" applyFont="1" applyFill="1" applyBorder="1" applyAlignment="1" applyProtection="1">
      <alignment/>
      <protection/>
    </xf>
    <xf numFmtId="37" fontId="0" fillId="0" borderId="17" xfId="0" applyNumberFormat="1" applyFont="1" applyFill="1" applyBorder="1" applyAlignment="1" applyProtection="1">
      <alignment/>
      <protection/>
    </xf>
    <xf numFmtId="0" fontId="7" fillId="0" borderId="0" xfId="237" applyFont="1" applyBorder="1" applyProtection="1">
      <alignment/>
      <protection/>
    </xf>
    <xf numFmtId="38" fontId="0" fillId="0" borderId="0" xfId="0" applyNumberFormat="1" applyFont="1" applyFill="1" applyBorder="1" applyAlignment="1" applyProtection="1">
      <alignment/>
      <protection/>
    </xf>
    <xf numFmtId="0" fontId="0" fillId="0" borderId="0" xfId="280" applyFont="1" applyFill="1" applyAlignment="1" applyProtection="1">
      <alignment horizontal="left"/>
      <protection/>
    </xf>
    <xf numFmtId="0" fontId="0" fillId="0" borderId="0" xfId="280" applyFont="1" applyFill="1" applyProtection="1">
      <alignment/>
      <protection/>
    </xf>
    <xf numFmtId="0" fontId="88" fillId="0" borderId="0" xfId="280" applyFont="1" applyFill="1" applyAlignment="1" applyProtection="1">
      <alignment horizontal="center"/>
      <protection/>
    </xf>
    <xf numFmtId="0" fontId="89" fillId="0" borderId="0" xfId="280" applyFont="1" applyFill="1" applyBorder="1" applyProtection="1">
      <alignment/>
      <protection/>
    </xf>
    <xf numFmtId="37" fontId="0" fillId="0" borderId="0" xfId="0" applyNumberFormat="1" applyAlignment="1" applyProtection="1">
      <alignment/>
      <protection/>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center"/>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11" xfId="0" applyBorder="1" applyAlignment="1" applyProtection="1">
      <alignment/>
      <protection/>
    </xf>
    <xf numFmtId="43" fontId="0" fillId="0" borderId="0" xfId="0" applyNumberFormat="1" applyAlignment="1" applyProtection="1">
      <alignment/>
      <protection/>
    </xf>
    <xf numFmtId="174" fontId="0" fillId="0" borderId="0" xfId="100" applyNumberFormat="1" applyFont="1" applyFill="1" applyAlignment="1" applyProtection="1">
      <alignment/>
      <protection/>
    </xf>
    <xf numFmtId="43" fontId="0" fillId="0" borderId="13" xfId="0" applyNumberFormat="1" applyBorder="1" applyAlignment="1" applyProtection="1">
      <alignment/>
      <protection/>
    </xf>
    <xf numFmtId="172" fontId="3" fillId="0" borderId="0" xfId="288" applyFont="1" applyFill="1" applyAlignment="1" applyProtection="1">
      <alignment/>
      <protection/>
    </xf>
    <xf numFmtId="0" fontId="0" fillId="0" borderId="0" xfId="0" applyFont="1" applyAlignment="1" applyProtection="1">
      <alignment horizontal="center"/>
      <protection/>
    </xf>
    <xf numFmtId="174" fontId="0" fillId="0" borderId="0" xfId="100" applyNumberFormat="1" applyFont="1" applyFill="1" applyAlignment="1" applyProtection="1">
      <alignment/>
      <protection/>
    </xf>
    <xf numFmtId="174" fontId="0" fillId="0" borderId="0" xfId="0" applyNumberFormat="1" applyAlignment="1" applyProtection="1">
      <alignment/>
      <protection/>
    </xf>
    <xf numFmtId="43" fontId="8" fillId="6" borderId="0" xfId="0" applyNumberFormat="1" applyFont="1" applyFill="1" applyAlignment="1" applyProtection="1">
      <alignment/>
      <protection locked="0"/>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293" applyFont="1" applyProtection="1">
      <alignment/>
      <protection/>
    </xf>
    <xf numFmtId="0" fontId="1" fillId="0" borderId="0" xfId="293" applyFont="1" applyAlignment="1" applyProtection="1">
      <alignment horizontal="right"/>
      <protection/>
    </xf>
    <xf numFmtId="0" fontId="10" fillId="0" borderId="0" xfId="293" applyFont="1" applyAlignment="1" applyProtection="1">
      <alignment horizontal="center"/>
      <protection/>
    </xf>
    <xf numFmtId="0" fontId="3" fillId="0" borderId="0" xfId="0" applyFont="1" applyAlignment="1" applyProtection="1">
      <alignment/>
      <protection/>
    </xf>
    <xf numFmtId="0" fontId="3" fillId="0" borderId="0" xfId="293" applyFont="1" applyProtection="1">
      <alignment/>
      <protection/>
    </xf>
    <xf numFmtId="0" fontId="76" fillId="0" borderId="0" xfId="293" applyFont="1" applyProtection="1">
      <alignment/>
      <protection/>
    </xf>
    <xf numFmtId="0" fontId="3" fillId="0" borderId="0" xfId="0" applyFont="1" applyAlignment="1" applyProtection="1">
      <alignment horizontal="center"/>
      <protection/>
    </xf>
    <xf numFmtId="0" fontId="10" fillId="0" borderId="0" xfId="293" applyFont="1" applyBorder="1" applyAlignment="1" applyProtection="1">
      <alignment horizontal="center"/>
      <protection/>
    </xf>
    <xf numFmtId="0" fontId="1" fillId="0" borderId="0" xfId="0" applyFont="1" applyAlignment="1" applyProtection="1">
      <alignment horizontal="right"/>
      <protection/>
    </xf>
    <xf numFmtId="0" fontId="4" fillId="0" borderId="0" xfId="293" applyFont="1" applyFill="1" applyProtection="1">
      <alignment/>
      <protection/>
    </xf>
    <xf numFmtId="0" fontId="3" fillId="0" borderId="0" xfId="293" applyFont="1" applyAlignment="1" applyProtection="1">
      <alignment horizontal="center"/>
      <protection/>
    </xf>
    <xf numFmtId="0" fontId="9" fillId="0" borderId="0" xfId="293" applyFont="1" applyFill="1" applyAlignment="1" applyProtection="1">
      <alignment horizontal="center"/>
      <protection/>
    </xf>
    <xf numFmtId="0" fontId="9" fillId="0" borderId="0" xfId="293" applyFont="1" applyFill="1" applyProtection="1">
      <alignment/>
      <protection/>
    </xf>
    <xf numFmtId="0" fontId="93" fillId="0" borderId="0" xfId="0" applyFont="1" applyAlignment="1" applyProtection="1">
      <alignment/>
      <protection/>
    </xf>
    <xf numFmtId="0" fontId="93" fillId="0" borderId="0" xfId="293" applyFont="1" applyProtection="1">
      <alignment/>
      <protection/>
    </xf>
    <xf numFmtId="0" fontId="0" fillId="0" borderId="0" xfId="293" applyFont="1" applyProtection="1">
      <alignment/>
      <protection/>
    </xf>
    <xf numFmtId="173" fontId="0" fillId="0" borderId="0" xfId="293" applyNumberFormat="1" applyFont="1" applyFill="1" applyProtection="1">
      <alignment/>
      <protection/>
    </xf>
    <xf numFmtId="0" fontId="0" fillId="0" borderId="0" xfId="0" applyFont="1" applyAlignment="1" applyProtection="1">
      <alignment horizontal="center"/>
      <protection/>
    </xf>
    <xf numFmtId="172" fontId="0" fillId="0" borderId="0" xfId="293" applyNumberFormat="1" applyFont="1" applyFill="1" applyAlignment="1" applyProtection="1">
      <alignment horizontal="center"/>
      <protection/>
    </xf>
    <xf numFmtId="0" fontId="0" fillId="0" borderId="0" xfId="293" applyFont="1" applyFill="1" applyProtection="1">
      <alignment/>
      <protection/>
    </xf>
    <xf numFmtId="0" fontId="9" fillId="0" borderId="0" xfId="293" applyFont="1" applyProtection="1">
      <alignment/>
      <protection/>
    </xf>
    <xf numFmtId="43" fontId="0" fillId="0" borderId="0" xfId="133" applyFont="1" applyFill="1" applyAlignment="1" applyProtection="1">
      <alignment/>
      <protection/>
    </xf>
    <xf numFmtId="0" fontId="9" fillId="0" borderId="0" xfId="293" applyFont="1" applyProtection="1">
      <alignment/>
      <protection/>
    </xf>
    <xf numFmtId="186" fontId="0" fillId="0" borderId="0" xfId="0" applyNumberFormat="1" applyFont="1" applyAlignment="1" applyProtection="1">
      <alignment/>
      <protection/>
    </xf>
    <xf numFmtId="173" fontId="0" fillId="0" borderId="0" xfId="293" applyNumberFormat="1" applyFont="1" applyProtection="1">
      <alignment/>
      <protection/>
    </xf>
    <xf numFmtId="173" fontId="0" fillId="0" borderId="13" xfId="0" applyNumberFormat="1" applyFont="1" applyBorder="1" applyAlignment="1" applyProtection="1">
      <alignment/>
      <protection/>
    </xf>
    <xf numFmtId="173" fontId="0" fillId="0" borderId="0" xfId="293" applyNumberFormat="1" applyFont="1" applyBorder="1" applyProtection="1">
      <alignment/>
      <protection/>
    </xf>
    <xf numFmtId="0" fontId="9" fillId="0" borderId="0" xfId="293" applyFont="1" applyFill="1" applyProtection="1">
      <alignment/>
      <protection/>
    </xf>
    <xf numFmtId="173" fontId="0" fillId="0" borderId="13" xfId="293" applyNumberFormat="1" applyFont="1" applyBorder="1" applyProtection="1">
      <alignment/>
      <protection/>
    </xf>
    <xf numFmtId="0" fontId="3" fillId="0" borderId="0" xfId="293" applyFont="1" applyProtection="1">
      <alignment/>
      <protection/>
    </xf>
    <xf numFmtId="43" fontId="3" fillId="0" borderId="0" xfId="133" applyFont="1" applyFill="1" applyAlignment="1" applyProtection="1">
      <alignment/>
      <protection/>
    </xf>
    <xf numFmtId="173" fontId="3" fillId="0" borderId="0" xfId="293" applyNumberFormat="1" applyFont="1" applyProtection="1">
      <alignment/>
      <protection/>
    </xf>
    <xf numFmtId="173" fontId="3" fillId="0" borderId="0" xfId="293" applyNumberFormat="1" applyFont="1" applyBorder="1" applyProtection="1">
      <alignment/>
      <protection/>
    </xf>
    <xf numFmtId="0" fontId="9" fillId="0" borderId="0" xfId="0" applyFont="1" applyFill="1" applyBorder="1" applyAlignment="1" applyProtection="1">
      <alignment horizontal="center"/>
      <protection/>
    </xf>
    <xf numFmtId="0" fontId="93" fillId="0" borderId="0" xfId="0" applyFont="1" applyFill="1" applyAlignment="1" applyProtection="1">
      <alignment/>
      <protection/>
    </xf>
    <xf numFmtId="0" fontId="4" fillId="0" borderId="0" xfId="0" applyFont="1" applyFill="1" applyBorder="1" applyAlignment="1" applyProtection="1">
      <alignment horizontal="center"/>
      <protection/>
    </xf>
    <xf numFmtId="0" fontId="1" fillId="0" borderId="0" xfId="0" applyFont="1" applyFill="1" applyAlignment="1" applyProtection="1">
      <alignment/>
      <protection/>
    </xf>
    <xf numFmtId="173" fontId="8" fillId="6" borderId="0" xfId="133" applyNumberFormat="1" applyFont="1" applyFill="1" applyAlignment="1" applyProtection="1">
      <alignment/>
      <protection locked="0"/>
    </xf>
    <xf numFmtId="41" fontId="18" fillId="6" borderId="0" xfId="280" applyNumberFormat="1" applyFont="1" applyFill="1" applyBorder="1" applyProtection="1">
      <alignment/>
      <protection locked="0"/>
    </xf>
    <xf numFmtId="3" fontId="18" fillId="6" borderId="0" xfId="0" applyNumberFormat="1" applyFont="1" applyFill="1" applyAlignment="1" applyProtection="1">
      <alignment/>
      <protection locked="0"/>
    </xf>
    <xf numFmtId="0" fontId="2" fillId="0" borderId="0" xfId="0" applyFont="1" applyAlignment="1" applyProtection="1">
      <alignment/>
      <protection/>
    </xf>
    <xf numFmtId="0" fontId="17" fillId="0" borderId="0" xfId="0" applyFont="1" applyAlignment="1" applyProtection="1">
      <alignment/>
      <protection/>
    </xf>
    <xf numFmtId="0" fontId="17" fillId="0" borderId="0" xfId="0" applyFont="1" applyAlignment="1" applyProtection="1">
      <alignment horizontal="right"/>
      <protection/>
    </xf>
    <xf numFmtId="0" fontId="3" fillId="0" borderId="0" xfId="0" applyFont="1" applyAlignment="1" applyProtection="1">
      <alignment horizontal="center" wrapText="1"/>
      <protection/>
    </xf>
    <xf numFmtId="0" fontId="3" fillId="0" borderId="0" xfId="0" applyFont="1" applyFill="1" applyAlignment="1" applyProtection="1">
      <alignment/>
      <protection/>
    </xf>
    <xf numFmtId="37" fontId="3" fillId="0" borderId="0" xfId="0" applyNumberFormat="1" applyFont="1" applyFill="1" applyAlignment="1" applyProtection="1">
      <alignment/>
      <protection/>
    </xf>
    <xf numFmtId="37" fontId="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0" fillId="0" borderId="0" xfId="0" applyFont="1" applyFill="1" applyAlignment="1" applyProtection="1">
      <alignment horizontal="center"/>
      <protection/>
    </xf>
    <xf numFmtId="10" fontId="3" fillId="0" borderId="0" xfId="0" applyNumberFormat="1" applyFont="1" applyFill="1" applyBorder="1" applyAlignment="1" applyProtection="1">
      <alignment/>
      <protection/>
    </xf>
    <xf numFmtId="176" fontId="3" fillId="0" borderId="0" xfId="0" applyNumberFormat="1" applyFont="1" applyFill="1" applyAlignment="1" applyProtection="1">
      <alignment/>
      <protection/>
    </xf>
    <xf numFmtId="10" fontId="3" fillId="0" borderId="14" xfId="0" applyNumberFormat="1" applyFont="1" applyFill="1" applyBorder="1" applyAlignment="1" applyProtection="1">
      <alignment/>
      <protection/>
    </xf>
    <xf numFmtId="10" fontId="18" fillId="6" borderId="0" xfId="0" applyNumberFormat="1" applyFont="1" applyFill="1" applyBorder="1" applyAlignment="1" applyProtection="1">
      <alignment/>
      <protection locked="0"/>
    </xf>
    <xf numFmtId="10" fontId="18" fillId="6" borderId="11" xfId="0" applyNumberFormat="1" applyFont="1" applyFill="1" applyBorder="1" applyAlignment="1" applyProtection="1">
      <alignment/>
      <protection locked="0"/>
    </xf>
    <xf numFmtId="0" fontId="3" fillId="6" borderId="0" xfId="0" applyFont="1" applyFill="1" applyAlignment="1" applyProtection="1">
      <alignment/>
      <protection locked="0"/>
    </xf>
    <xf numFmtId="0" fontId="0" fillId="0" borderId="0" xfId="289" applyFont="1" applyProtection="1">
      <alignment/>
      <protection/>
    </xf>
    <xf numFmtId="0" fontId="3" fillId="0" borderId="0" xfId="289" applyFont="1" applyProtection="1">
      <alignment/>
      <protection/>
    </xf>
    <xf numFmtId="0" fontId="17" fillId="0" borderId="0" xfId="289" applyNumberFormat="1" applyFont="1" applyAlignment="1" applyProtection="1">
      <alignment horizontal="center"/>
      <protection/>
    </xf>
    <xf numFmtId="0" fontId="17" fillId="0" borderId="0" xfId="289" applyNumberFormat="1" applyFont="1" applyProtection="1">
      <alignment/>
      <protection/>
    </xf>
    <xf numFmtId="0" fontId="4" fillId="0" borderId="0" xfId="280" applyFont="1" applyFill="1" applyAlignment="1" applyProtection="1">
      <alignment horizontal="center"/>
      <protection/>
    </xf>
    <xf numFmtId="0" fontId="0" fillId="0" borderId="0" xfId="289" applyNumberFormat="1" applyFont="1" applyProtection="1">
      <alignment/>
      <protection/>
    </xf>
    <xf numFmtId="0" fontId="2" fillId="0" borderId="0" xfId="289" applyNumberFormat="1" applyFont="1" applyAlignment="1" applyProtection="1">
      <alignment horizontal="center"/>
      <protection/>
    </xf>
    <xf numFmtId="0" fontId="2" fillId="0" borderId="0" xfId="289" applyNumberFormat="1" applyFont="1" applyProtection="1">
      <alignment/>
      <protection/>
    </xf>
    <xf numFmtId="186" fontId="2" fillId="0" borderId="0" xfId="289" applyNumberFormat="1" applyFont="1" applyAlignment="1" applyProtection="1">
      <alignment horizontal="center"/>
      <protection/>
    </xf>
    <xf numFmtId="0" fontId="69" fillId="0" borderId="0" xfId="289" applyFont="1" applyProtection="1">
      <alignment/>
      <protection/>
    </xf>
    <xf numFmtId="0" fontId="9" fillId="0" borderId="0" xfId="289" applyFont="1" applyProtection="1">
      <alignment/>
      <protection/>
    </xf>
    <xf numFmtId="0" fontId="2" fillId="0" borderId="11" xfId="289" applyNumberFormat="1" applyFont="1" applyBorder="1" applyAlignment="1" applyProtection="1">
      <alignment horizontal="center"/>
      <protection/>
    </xf>
    <xf numFmtId="186" fontId="2" fillId="0" borderId="11" xfId="289" applyNumberFormat="1" applyFont="1" applyBorder="1" applyAlignment="1" applyProtection="1">
      <alignment horizontal="center"/>
      <protection/>
    </xf>
    <xf numFmtId="0" fontId="69" fillId="0" borderId="11" xfId="289" applyFont="1" applyBorder="1" applyAlignment="1" applyProtection="1">
      <alignment horizontal="center"/>
      <protection/>
    </xf>
    <xf numFmtId="0" fontId="9" fillId="0" borderId="0" xfId="289" applyFont="1" applyAlignment="1" applyProtection="1">
      <alignment horizontal="center"/>
      <protection/>
    </xf>
    <xf numFmtId="0" fontId="17" fillId="0" borderId="0" xfId="289" applyNumberFormat="1" applyFont="1" applyBorder="1" applyAlignment="1" applyProtection="1">
      <alignment horizontal="center"/>
      <protection/>
    </xf>
    <xf numFmtId="186" fontId="17" fillId="0" borderId="0" xfId="289" applyNumberFormat="1" applyFont="1" applyAlignment="1" applyProtection="1">
      <alignment horizontal="center"/>
      <protection/>
    </xf>
    <xf numFmtId="0" fontId="66" fillId="0" borderId="0" xfId="289" applyFont="1" applyProtection="1">
      <alignment/>
      <protection/>
    </xf>
    <xf numFmtId="186" fontId="67" fillId="0" borderId="0" xfId="289" applyNumberFormat="1" applyFont="1" applyProtection="1">
      <alignment/>
      <protection/>
    </xf>
    <xf numFmtId="0" fontId="17" fillId="0" borderId="0" xfId="289" applyFont="1" applyProtection="1">
      <alignment/>
      <protection/>
    </xf>
    <xf numFmtId="186" fontId="17" fillId="0" borderId="0" xfId="289" applyNumberFormat="1" applyFont="1" applyProtection="1">
      <alignment/>
      <protection/>
    </xf>
    <xf numFmtId="0" fontId="68" fillId="0" borderId="0" xfId="289" applyFont="1" applyProtection="1">
      <alignment/>
      <protection/>
    </xf>
    <xf numFmtId="173" fontId="66" fillId="0" borderId="0" xfId="289" applyNumberFormat="1" applyFont="1" applyBorder="1" applyProtection="1">
      <alignment/>
      <protection/>
    </xf>
    <xf numFmtId="173" fontId="66" fillId="0" borderId="0" xfId="289" applyNumberFormat="1" applyFont="1" applyProtection="1">
      <alignment/>
      <protection/>
    </xf>
    <xf numFmtId="173" fontId="66" fillId="0" borderId="0" xfId="289" applyNumberFormat="1" applyFont="1" applyFill="1" applyBorder="1" applyProtection="1">
      <alignment/>
      <protection/>
    </xf>
    <xf numFmtId="0" fontId="66" fillId="0" borderId="0" xfId="289" applyFont="1" applyFill="1" applyBorder="1" applyProtection="1">
      <alignment/>
      <protection/>
    </xf>
    <xf numFmtId="173" fontId="82" fillId="0" borderId="0" xfId="289" applyNumberFormat="1" applyFont="1" applyFill="1" applyBorder="1" applyProtection="1">
      <alignment/>
      <protection/>
    </xf>
    <xf numFmtId="173" fontId="3" fillId="0" borderId="0" xfId="289" applyNumberFormat="1" applyFont="1" applyProtection="1">
      <alignment/>
      <protection/>
    </xf>
    <xf numFmtId="173" fontId="70" fillId="0" borderId="0" xfId="289" applyNumberFormat="1" applyFont="1" applyProtection="1">
      <alignment/>
      <protection/>
    </xf>
    <xf numFmtId="186" fontId="3" fillId="0" borderId="0" xfId="289" applyNumberFormat="1" applyFont="1" applyProtection="1">
      <alignment/>
      <protection/>
    </xf>
    <xf numFmtId="173" fontId="70" fillId="0" borderId="0" xfId="100" applyNumberFormat="1" applyFont="1" applyAlignment="1" applyProtection="1">
      <alignment/>
      <protection/>
    </xf>
    <xf numFmtId="0" fontId="106" fillId="0" borderId="0" xfId="288" applyNumberFormat="1" applyFont="1" applyBorder="1" applyAlignment="1" applyProtection="1">
      <alignment/>
      <protection/>
    </xf>
    <xf numFmtId="0" fontId="91" fillId="0" borderId="0" xfId="289" applyFont="1" applyFill="1" applyBorder="1" applyProtection="1">
      <alignment/>
      <protection/>
    </xf>
    <xf numFmtId="0" fontId="91" fillId="0" borderId="0" xfId="289" applyFont="1" applyProtection="1">
      <alignment/>
      <protection/>
    </xf>
    <xf numFmtId="173" fontId="107" fillId="0" borderId="0" xfId="289" applyNumberFormat="1" applyFont="1" applyProtection="1">
      <alignment/>
      <protection/>
    </xf>
    <xf numFmtId="186" fontId="108" fillId="0" borderId="0" xfId="289" applyNumberFormat="1" applyFont="1" applyProtection="1">
      <alignment/>
      <protection/>
    </xf>
    <xf numFmtId="173" fontId="107" fillId="0" borderId="0" xfId="100" applyNumberFormat="1" applyFont="1" applyAlignment="1" applyProtection="1">
      <alignment/>
      <protection/>
    </xf>
    <xf numFmtId="173" fontId="91" fillId="0" borderId="0" xfId="289" applyNumberFormat="1" applyFont="1" applyProtection="1">
      <alignment/>
      <protection/>
    </xf>
    <xf numFmtId="0" fontId="66" fillId="0" borderId="0" xfId="289" applyFont="1" applyFill="1" applyProtection="1">
      <alignment/>
      <protection/>
    </xf>
    <xf numFmtId="0" fontId="17" fillId="0" borderId="0" xfId="286" applyFont="1" applyFill="1" applyAlignment="1" applyProtection="1">
      <alignment horizontal="center"/>
      <protection/>
    </xf>
    <xf numFmtId="0" fontId="17" fillId="0" borderId="0" xfId="286" applyFont="1" applyFill="1" applyAlignment="1" applyProtection="1">
      <alignment horizontal="left" indent="2"/>
      <protection/>
    </xf>
    <xf numFmtId="39" fontId="17" fillId="0" borderId="0" xfId="286" applyNumberFormat="1" applyFont="1" applyFill="1" applyProtection="1">
      <alignment/>
      <protection/>
    </xf>
    <xf numFmtId="173" fontId="66" fillId="0" borderId="0" xfId="289" applyNumberFormat="1" applyFont="1" applyFill="1" applyProtection="1">
      <alignment/>
      <protection/>
    </xf>
    <xf numFmtId="43" fontId="66" fillId="0" borderId="0" xfId="100" applyFont="1" applyAlignment="1" applyProtection="1">
      <alignment/>
      <protection/>
    </xf>
    <xf numFmtId="43" fontId="70" fillId="0" borderId="0" xfId="100" applyFont="1" applyAlignment="1" applyProtection="1">
      <alignment/>
      <protection/>
    </xf>
    <xf numFmtId="173" fontId="3" fillId="0" borderId="0" xfId="100" applyNumberFormat="1" applyFont="1" applyAlignment="1" applyProtection="1">
      <alignment/>
      <protection/>
    </xf>
    <xf numFmtId="0" fontId="17" fillId="0" borderId="0" xfId="286" applyFont="1" applyFill="1" applyAlignment="1" applyProtection="1">
      <alignment horizontal="center"/>
      <protection/>
    </xf>
    <xf numFmtId="173" fontId="66" fillId="0" borderId="14" xfId="100" applyNumberFormat="1" applyFont="1" applyBorder="1" applyAlignment="1" applyProtection="1">
      <alignment/>
      <protection/>
    </xf>
    <xf numFmtId="0" fontId="69" fillId="0" borderId="0" xfId="289" applyFont="1" applyAlignment="1" applyProtection="1">
      <alignment horizontal="center" wrapText="1"/>
      <protection/>
    </xf>
    <xf numFmtId="0" fontId="73" fillId="0" borderId="0" xfId="289" applyFont="1" applyAlignment="1" applyProtection="1">
      <alignment horizontal="center"/>
      <protection/>
    </xf>
    <xf numFmtId="0" fontId="17" fillId="0" borderId="0" xfId="289" applyNumberFormat="1" applyFont="1" applyFill="1" applyAlignment="1" applyProtection="1">
      <alignment horizontal="center"/>
      <protection/>
    </xf>
    <xf numFmtId="0" fontId="0" fillId="0" borderId="0" xfId="289" applyNumberFormat="1" applyFont="1" applyFill="1" applyProtection="1">
      <alignment/>
      <protection/>
    </xf>
    <xf numFmtId="0" fontId="91" fillId="0" borderId="0" xfId="289" applyFont="1" applyFill="1" applyProtection="1">
      <alignment/>
      <protection/>
    </xf>
    <xf numFmtId="41" fontId="91" fillId="0" borderId="0" xfId="289" applyNumberFormat="1" applyFont="1" applyFill="1" applyProtection="1">
      <alignment/>
      <protection/>
    </xf>
    <xf numFmtId="41" fontId="91" fillId="0" borderId="0" xfId="289" applyNumberFormat="1" applyFont="1" applyFill="1" applyBorder="1" applyProtection="1">
      <alignment/>
      <protection/>
    </xf>
    <xf numFmtId="41" fontId="66" fillId="0" borderId="0" xfId="289" applyNumberFormat="1" applyFont="1" applyFill="1" applyProtection="1">
      <alignment/>
      <protection/>
    </xf>
    <xf numFmtId="10" fontId="66" fillId="0" borderId="0" xfId="301" applyNumberFormat="1" applyFont="1" applyFill="1" applyAlignment="1" applyProtection="1">
      <alignment/>
      <protection/>
    </xf>
    <xf numFmtId="41" fontId="66" fillId="0" borderId="0" xfId="289" applyNumberFormat="1" applyFont="1" applyFill="1" applyBorder="1" applyProtection="1">
      <alignment/>
      <protection/>
    </xf>
    <xf numFmtId="164" fontId="66" fillId="0" borderId="0" xfId="301" applyNumberFormat="1" applyFont="1" applyFill="1" applyAlignment="1" applyProtection="1">
      <alignment/>
      <protection/>
    </xf>
    <xf numFmtId="188" fontId="0" fillId="0" borderId="0" xfId="301" applyNumberFormat="1" applyFont="1" applyFill="1" applyAlignment="1" applyProtection="1">
      <alignment/>
      <protection/>
    </xf>
    <xf numFmtId="41" fontId="78" fillId="26" borderId="0" xfId="289" applyNumberFormat="1" applyFont="1" applyFill="1" applyProtection="1">
      <alignment/>
      <protection/>
    </xf>
    <xf numFmtId="41" fontId="78" fillId="26" borderId="0" xfId="289" applyNumberFormat="1" applyFont="1" applyFill="1" applyBorder="1" applyProtection="1">
      <alignment/>
      <protection/>
    </xf>
    <xf numFmtId="10" fontId="66" fillId="0" borderId="11" xfId="301" applyNumberFormat="1" applyFont="1" applyFill="1" applyBorder="1" applyAlignment="1" applyProtection="1">
      <alignment/>
      <protection/>
    </xf>
    <xf numFmtId="173" fontId="66" fillId="0" borderId="0" xfId="100" applyNumberFormat="1" applyFont="1" applyFill="1" applyAlignment="1" applyProtection="1">
      <alignment/>
      <protection/>
    </xf>
    <xf numFmtId="10" fontId="66" fillId="0" borderId="0" xfId="301" applyNumberFormat="1" applyFont="1" applyFill="1" applyBorder="1" applyAlignment="1" applyProtection="1">
      <alignment/>
      <protection/>
    </xf>
    <xf numFmtId="173" fontId="66" fillId="0" borderId="0" xfId="100" applyNumberFormat="1" applyFont="1" applyFill="1" applyBorder="1" applyAlignment="1" applyProtection="1">
      <alignment/>
      <protection/>
    </xf>
    <xf numFmtId="0" fontId="0" fillId="0" borderId="0" xfId="289" applyNumberFormat="1" applyFont="1" applyAlignment="1" applyProtection="1">
      <alignment horizontal="center"/>
      <protection/>
    </xf>
    <xf numFmtId="186" fontId="0" fillId="0" borderId="0" xfId="289" applyNumberFormat="1" applyFont="1" applyProtection="1">
      <alignment/>
      <protection/>
    </xf>
    <xf numFmtId="173" fontId="0" fillId="0" borderId="0" xfId="289" applyNumberFormat="1" applyFont="1" applyProtection="1">
      <alignment/>
      <protection/>
    </xf>
    <xf numFmtId="173" fontId="66" fillId="0" borderId="18" xfId="100" applyNumberFormat="1" applyFont="1" applyFill="1" applyBorder="1" applyAlignment="1" applyProtection="1">
      <alignment/>
      <protection/>
    </xf>
    <xf numFmtId="0" fontId="69" fillId="6" borderId="0" xfId="289" applyFont="1" applyFill="1" applyProtection="1">
      <alignment/>
      <protection locked="0"/>
    </xf>
    <xf numFmtId="0" fontId="91" fillId="6" borderId="0" xfId="289" applyFont="1" applyFill="1" applyProtection="1">
      <alignment/>
      <protection locked="0"/>
    </xf>
    <xf numFmtId="0" fontId="66" fillId="6" borderId="0" xfId="289" applyFont="1" applyFill="1" applyProtection="1">
      <alignment/>
      <protection locked="0"/>
    </xf>
    <xf numFmtId="10" fontId="72" fillId="6" borderId="11" xfId="301" applyNumberFormat="1" applyFont="1" applyFill="1" applyBorder="1" applyAlignment="1" applyProtection="1">
      <alignment/>
      <protection locked="0"/>
    </xf>
    <xf numFmtId="173" fontId="72" fillId="6" borderId="0" xfId="289" applyNumberFormat="1" applyFont="1" applyFill="1" applyBorder="1" applyProtection="1">
      <alignment/>
      <protection locked="0"/>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0" fillId="0" borderId="0" xfId="0" applyAlignment="1" applyProtection="1">
      <alignment wrapText="1"/>
      <protection/>
    </xf>
    <xf numFmtId="0" fontId="4" fillId="0" borderId="0" xfId="0" applyFont="1" applyAlignment="1" applyProtection="1">
      <alignment horizontal="left"/>
      <protection/>
    </xf>
    <xf numFmtId="0" fontId="0" fillId="0" borderId="0" xfId="288" applyNumberFormat="1" applyFont="1" applyBorder="1" applyAlignment="1" applyProtection="1">
      <alignment/>
      <protection/>
    </xf>
    <xf numFmtId="3" fontId="0" fillId="0" borderId="0" xfId="288" applyNumberFormat="1" applyFont="1" applyAlignment="1" applyProtection="1">
      <alignment/>
      <protection/>
    </xf>
    <xf numFmtId="10" fontId="0" fillId="0" borderId="0" xfId="301" applyNumberFormat="1" applyAlignment="1" applyProtection="1">
      <alignment horizontal="right"/>
      <protection/>
    </xf>
    <xf numFmtId="172" fontId="0" fillId="0" borderId="0" xfId="288" applyFont="1" applyAlignment="1" applyProtection="1">
      <alignment/>
      <protection/>
    </xf>
    <xf numFmtId="172" fontId="0" fillId="0" borderId="0" xfId="288" applyFont="1" applyBorder="1" applyAlignment="1" applyProtection="1">
      <alignment/>
      <protection/>
    </xf>
    <xf numFmtId="3" fontId="0" fillId="0" borderId="0" xfId="288" applyNumberFormat="1" applyFont="1" applyFill="1" applyAlignment="1" applyProtection="1">
      <alignment/>
      <protection/>
    </xf>
    <xf numFmtId="10" fontId="0" fillId="0" borderId="0" xfId="301" applyNumberFormat="1" applyFont="1" applyFill="1" applyAlignment="1" applyProtection="1">
      <alignment horizontal="right"/>
      <protection/>
    </xf>
    <xf numFmtId="3" fontId="9" fillId="0" borderId="0" xfId="288" applyNumberFormat="1" applyFont="1" applyAlignment="1" applyProtection="1">
      <alignment/>
      <protection/>
    </xf>
    <xf numFmtId="10" fontId="0" fillId="0" borderId="0" xfId="288" applyNumberFormat="1" applyFont="1" applyFill="1" applyAlignment="1" applyProtection="1">
      <alignment horizontal="right"/>
      <protection/>
    </xf>
    <xf numFmtId="3" fontId="12" fillId="0" borderId="0" xfId="288" applyNumberFormat="1" applyFont="1" applyAlignment="1" applyProtection="1">
      <alignment horizontal="center"/>
      <protection/>
    </xf>
    <xf numFmtId="10" fontId="12" fillId="0" borderId="0" xfId="288" applyNumberFormat="1" applyFont="1" applyFill="1" applyAlignment="1" applyProtection="1">
      <alignment horizontal="center"/>
      <protection/>
    </xf>
    <xf numFmtId="0" fontId="0" fillId="0" borderId="0" xfId="288"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301" applyNumberFormat="1" applyFont="1" applyAlignment="1" applyProtection="1">
      <alignment/>
      <protection/>
    </xf>
    <xf numFmtId="166" fontId="0" fillId="0" borderId="0" xfId="288" applyNumberFormat="1" applyFont="1" applyAlignment="1" applyProtection="1">
      <alignment horizontal="center"/>
      <protection/>
    </xf>
    <xf numFmtId="166" fontId="0" fillId="0" borderId="0" xfId="288" applyNumberFormat="1" applyFont="1" applyBorder="1" applyAlignment="1" applyProtection="1">
      <alignment horizontal="center"/>
      <protection/>
    </xf>
    <xf numFmtId="41" fontId="0" fillId="0" borderId="0" xfId="288" applyNumberFormat="1" applyFont="1" applyAlignment="1" applyProtection="1">
      <alignment/>
      <protection/>
    </xf>
    <xf numFmtId="41" fontId="0" fillId="0" borderId="0" xfId="288" applyNumberFormat="1" applyFont="1" applyAlignment="1" applyProtection="1">
      <alignment horizontal="center"/>
      <protection/>
    </xf>
    <xf numFmtId="41" fontId="0" fillId="0" borderId="0" xfId="288" applyNumberFormat="1" applyFont="1" applyBorder="1" applyAlignment="1" applyProtection="1">
      <alignment horizontal="center"/>
      <protection/>
    </xf>
    <xf numFmtId="0" fontId="0" fillId="0" borderId="0" xfId="288" applyNumberFormat="1" applyFont="1" applyBorder="1" applyAlignment="1" applyProtection="1">
      <alignment horizontal="right"/>
      <protection/>
    </xf>
    <xf numFmtId="164" fontId="12" fillId="0" borderId="0" xfId="301" applyNumberFormat="1" applyFont="1" applyAlignment="1" applyProtection="1">
      <alignment/>
      <protection/>
    </xf>
    <xf numFmtId="3" fontId="0" fillId="0" borderId="0" xfId="288" applyNumberFormat="1" applyFont="1" applyAlignment="1" applyProtection="1">
      <alignment horizontal="right"/>
      <protection/>
    </xf>
    <xf numFmtId="172" fontId="0" fillId="0" borderId="19" xfId="288" applyFont="1" applyBorder="1" applyAlignment="1" applyProtection="1">
      <alignment/>
      <protection/>
    </xf>
    <xf numFmtId="0" fontId="0" fillId="0" borderId="0" xfId="288" applyNumberFormat="1" applyFont="1" applyBorder="1" applyAlignment="1" applyProtection="1">
      <alignment horizontal="center"/>
      <protection/>
    </xf>
    <xf numFmtId="172" fontId="0" fillId="0" borderId="0" xfId="288" applyFont="1" applyBorder="1" applyAlignment="1" applyProtection="1">
      <alignment/>
      <protection/>
    </xf>
    <xf numFmtId="3" fontId="0" fillId="0" borderId="20" xfId="288" applyNumberFormat="1" applyFont="1" applyBorder="1" applyAlignment="1" applyProtection="1">
      <alignment/>
      <protection/>
    </xf>
    <xf numFmtId="10" fontId="0" fillId="0" borderId="0" xfId="288" applyNumberFormat="1" applyFont="1" applyFill="1" applyAlignment="1" applyProtection="1">
      <alignment horizontal="left"/>
      <protection/>
    </xf>
    <xf numFmtId="41" fontId="0" fillId="0" borderId="0" xfId="288" applyNumberFormat="1" applyFont="1" applyBorder="1" applyAlignment="1" applyProtection="1">
      <alignment/>
      <protection/>
    </xf>
    <xf numFmtId="0" fontId="0" fillId="0" borderId="19" xfId="0" applyFont="1" applyBorder="1" applyAlignment="1" applyProtection="1">
      <alignment/>
      <protection/>
    </xf>
    <xf numFmtId="0" fontId="0" fillId="0" borderId="0" xfId="0" applyFont="1" applyBorder="1" applyAlignment="1" applyProtection="1">
      <alignment/>
      <protection/>
    </xf>
    <xf numFmtId="0" fontId="0" fillId="0" borderId="20" xfId="0" applyFont="1" applyBorder="1" applyAlignment="1" applyProtection="1">
      <alignment/>
      <protection/>
    </xf>
    <xf numFmtId="41" fontId="0" fillId="0" borderId="0" xfId="288" applyNumberFormat="1" applyFont="1" applyFill="1" applyAlignment="1" applyProtection="1">
      <alignment/>
      <protection/>
    </xf>
    <xf numFmtId="166" fontId="0" fillId="0" borderId="21" xfId="288" applyNumberFormat="1" applyFont="1" applyBorder="1" applyAlignment="1" applyProtection="1">
      <alignment horizontal="center"/>
      <protection/>
    </xf>
    <xf numFmtId="0" fontId="0" fillId="0" borderId="6" xfId="288" applyNumberFormat="1" applyFont="1" applyBorder="1" applyAlignment="1" applyProtection="1">
      <alignment horizontal="center"/>
      <protection/>
    </xf>
    <xf numFmtId="174" fontId="0" fillId="0" borderId="22" xfId="0" applyNumberFormat="1" applyFont="1" applyBorder="1" applyAlignment="1" applyProtection="1">
      <alignment/>
      <protection/>
    </xf>
    <xf numFmtId="41" fontId="0" fillId="0" borderId="0" xfId="288" applyNumberFormat="1" applyFont="1" applyBorder="1" applyAlignment="1" applyProtection="1">
      <alignment/>
      <protection/>
    </xf>
    <xf numFmtId="173" fontId="0" fillId="0" borderId="0" xfId="288" applyNumberFormat="1" applyFont="1" applyBorder="1" applyAlignment="1" applyProtection="1">
      <alignment horizontal="center"/>
      <protection/>
    </xf>
    <xf numFmtId="41" fontId="0" fillId="0" borderId="0" xfId="288" applyNumberFormat="1" applyFont="1" applyFill="1" applyAlignment="1" applyProtection="1">
      <alignment horizontal="left"/>
      <protection/>
    </xf>
    <xf numFmtId="41" fontId="0" fillId="0" borderId="0" xfId="288" applyNumberFormat="1" applyFont="1" applyFill="1" applyBorder="1" applyAlignment="1" applyProtection="1">
      <alignment horizontal="right"/>
      <protection/>
    </xf>
    <xf numFmtId="167" fontId="0" fillId="0" borderId="0" xfId="288" applyNumberFormat="1" applyFont="1" applyAlignment="1" applyProtection="1">
      <alignment/>
      <protection/>
    </xf>
    <xf numFmtId="164" fontId="0" fillId="0" borderId="0" xfId="288" applyNumberFormat="1" applyFont="1" applyFill="1" applyBorder="1" applyAlignment="1" applyProtection="1">
      <alignment horizontal="left"/>
      <protection/>
    </xf>
    <xf numFmtId="164" fontId="0" fillId="0" borderId="0" xfId="288" applyNumberFormat="1" applyFont="1" applyBorder="1" applyAlignment="1" applyProtection="1">
      <alignment horizontal="left"/>
      <protection/>
    </xf>
    <xf numFmtId="3" fontId="0" fillId="0" borderId="0" xfId="288" applyNumberFormat="1" applyFont="1" applyAlignment="1" applyProtection="1">
      <alignment vertical="center" wrapText="1"/>
      <protection/>
    </xf>
    <xf numFmtId="41" fontId="0" fillId="0" borderId="0" xfId="288" applyNumberFormat="1" applyFont="1" applyBorder="1" applyAlignment="1" applyProtection="1">
      <alignment vertical="center"/>
      <protection/>
    </xf>
    <xf numFmtId="41" fontId="0" fillId="0" borderId="0" xfId="288" applyNumberFormat="1" applyFont="1" applyBorder="1" applyAlignment="1" applyProtection="1">
      <alignment horizontal="center" vertical="center"/>
      <protection/>
    </xf>
    <xf numFmtId="41" fontId="0" fillId="0" borderId="0" xfId="288"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100" applyNumberFormat="1" applyFont="1" applyAlignment="1" applyProtection="1">
      <alignment/>
      <protection/>
    </xf>
    <xf numFmtId="41" fontId="0" fillId="0" borderId="0" xfId="0" applyNumberFormat="1" applyFont="1" applyAlignment="1" applyProtection="1">
      <alignment/>
      <protection/>
    </xf>
    <xf numFmtId="41" fontId="0" fillId="0" borderId="0" xfId="288" applyNumberFormat="1" applyFont="1" applyFill="1" applyBorder="1" applyAlignment="1" applyProtection="1">
      <alignment/>
      <protection/>
    </xf>
    <xf numFmtId="41" fontId="0" fillId="0" borderId="6" xfId="288" applyNumberFormat="1" applyFont="1" applyFill="1" applyBorder="1" applyAlignment="1" applyProtection="1">
      <alignment/>
      <protection/>
    </xf>
    <xf numFmtId="0" fontId="0" fillId="0" borderId="0" xfId="288" applyNumberFormat="1" applyFont="1" applyFill="1" applyBorder="1" applyAlignment="1" applyProtection="1">
      <alignment/>
      <protection/>
    </xf>
    <xf numFmtId="3" fontId="0" fillId="0" borderId="0" xfId="288" applyNumberFormat="1" applyFont="1" applyFill="1" applyBorder="1" applyAlignment="1" applyProtection="1">
      <alignment/>
      <protection/>
    </xf>
    <xf numFmtId="41" fontId="0" fillId="0" borderId="0" xfId="288" applyNumberFormat="1" applyFont="1" applyFill="1" applyBorder="1" applyAlignment="1" applyProtection="1">
      <alignment horizontal="center"/>
      <protection/>
    </xf>
    <xf numFmtId="0" fontId="0" fillId="0" borderId="0" xfId="288" applyNumberFormat="1" applyFont="1" applyFill="1" applyBorder="1" applyProtection="1">
      <alignment/>
      <protection/>
    </xf>
    <xf numFmtId="41" fontId="12" fillId="0" borderId="0" xfId="288" applyNumberFormat="1" applyFont="1" applyFill="1" applyBorder="1" applyAlignment="1" applyProtection="1">
      <alignment/>
      <protection/>
    </xf>
    <xf numFmtId="3" fontId="0" fillId="0" borderId="0" xfId="288" applyNumberFormat="1" applyFont="1" applyFill="1" applyBorder="1" applyAlignment="1" applyProtection="1">
      <alignment horizontal="center"/>
      <protection/>
    </xf>
    <xf numFmtId="0" fontId="0" fillId="0" borderId="0" xfId="288" applyNumberFormat="1" applyFont="1" applyFill="1" applyBorder="1" applyAlignment="1" applyProtection="1">
      <alignment horizontal="center"/>
      <protection/>
    </xf>
    <xf numFmtId="10" fontId="0" fillId="0" borderId="0" xfId="288" applyNumberFormat="1" applyFont="1" applyFill="1" applyBorder="1" applyAlignment="1" applyProtection="1">
      <alignment/>
      <protection/>
    </xf>
    <xf numFmtId="169" fontId="0" fillId="0" borderId="0" xfId="288" applyNumberFormat="1" applyFont="1" applyFill="1" applyBorder="1" applyAlignment="1" applyProtection="1">
      <alignment/>
      <protection/>
    </xf>
    <xf numFmtId="172" fontId="0" fillId="0" borderId="0" xfId="288" applyFont="1" applyFill="1" applyBorder="1" applyAlignment="1" applyProtection="1">
      <alignment/>
      <protection/>
    </xf>
    <xf numFmtId="169" fontId="9" fillId="0" borderId="0" xfId="288" applyNumberFormat="1"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41" fontId="0" fillId="0" borderId="0" xfId="0" applyNumberFormat="1" applyFont="1" applyFill="1" applyBorder="1" applyAlignment="1" applyProtection="1">
      <alignment/>
      <protection/>
    </xf>
    <xf numFmtId="41" fontId="12" fillId="0" borderId="0" xfId="0" applyNumberFormat="1" applyFont="1" applyAlignment="1" applyProtection="1">
      <alignment/>
      <protection/>
    </xf>
    <xf numFmtId="4" fontId="0" fillId="0" borderId="0" xfId="288" applyNumberFormat="1" applyFont="1" applyFill="1" applyBorder="1" applyAlignment="1" applyProtection="1">
      <alignment/>
      <protection/>
    </xf>
    <xf numFmtId="10" fontId="12" fillId="0" borderId="0" xfId="0" applyNumberFormat="1" applyFont="1" applyAlignment="1" applyProtection="1">
      <alignment/>
      <protection/>
    </xf>
    <xf numFmtId="173" fontId="0" fillId="0" borderId="0" xfId="100" applyNumberFormat="1" applyFont="1" applyBorder="1" applyAlignment="1" applyProtection="1">
      <alignment/>
      <protection/>
    </xf>
    <xf numFmtId="43" fontId="0" fillId="0" borderId="0" xfId="100" applyFont="1" applyAlignment="1" applyProtection="1">
      <alignment/>
      <protection/>
    </xf>
    <xf numFmtId="43" fontId="0" fillId="0" borderId="0" xfId="100" applyFont="1" applyFill="1" applyAlignment="1" applyProtection="1">
      <alignment/>
      <protection/>
    </xf>
    <xf numFmtId="173" fontId="0" fillId="0" borderId="0" xfId="0" applyNumberFormat="1" applyFont="1" applyFill="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0" fontId="11" fillId="0" borderId="0" xfId="0" applyFont="1" applyAlignment="1" applyProtection="1">
      <alignment/>
      <protection/>
    </xf>
    <xf numFmtId="0" fontId="0" fillId="25" borderId="0" xfId="0" applyFont="1" applyFill="1" applyBorder="1" applyAlignment="1" applyProtection="1">
      <alignment/>
      <protection/>
    </xf>
    <xf numFmtId="0" fontId="4" fillId="0" borderId="0" xfId="0" applyFont="1" applyFill="1" applyAlignment="1" applyProtection="1">
      <alignment/>
      <protection/>
    </xf>
    <xf numFmtId="0" fontId="9" fillId="0" borderId="23" xfId="0" applyFont="1" applyBorder="1" applyAlignment="1" applyProtection="1">
      <alignment/>
      <protection/>
    </xf>
    <xf numFmtId="0" fontId="9" fillId="0" borderId="17" xfId="0" applyFont="1" applyBorder="1" applyAlignment="1" applyProtection="1">
      <alignment/>
      <protection/>
    </xf>
    <xf numFmtId="0" fontId="0" fillId="0" borderId="17" xfId="0" applyFont="1" applyBorder="1" applyAlignment="1" applyProtection="1">
      <alignment/>
      <protection/>
    </xf>
    <xf numFmtId="173" fontId="9" fillId="0" borderId="24" xfId="100" applyNumberFormat="1" applyFont="1" applyBorder="1" applyAlignment="1" applyProtection="1">
      <alignment/>
      <protection/>
    </xf>
    <xf numFmtId="0" fontId="3" fillId="0" borderId="0" xfId="100" applyNumberFormat="1" applyFont="1" applyFill="1" applyAlignment="1" applyProtection="1">
      <alignment horizontal="left"/>
      <protection/>
    </xf>
    <xf numFmtId="0" fontId="3" fillId="0" borderId="0" xfId="100" applyNumberFormat="1" applyFont="1" applyFill="1" applyBorder="1" applyAlignment="1" applyProtection="1">
      <alignment horizontal="left"/>
      <protection/>
    </xf>
    <xf numFmtId="0" fontId="9" fillId="0" borderId="19" xfId="0" applyFont="1" applyBorder="1" applyAlignment="1" applyProtection="1">
      <alignment/>
      <protection/>
    </xf>
    <xf numFmtId="0" fontId="4" fillId="0" borderId="0" xfId="100" applyNumberFormat="1" applyFont="1" applyFill="1" applyBorder="1" applyAlignment="1" applyProtection="1">
      <alignment horizontal="left"/>
      <protection/>
    </xf>
    <xf numFmtId="173" fontId="9" fillId="0" borderId="25" xfId="100" applyNumberFormat="1" applyFont="1" applyBorder="1" applyAlignment="1" applyProtection="1">
      <alignment/>
      <protection/>
    </xf>
    <xf numFmtId="0" fontId="9" fillId="0" borderId="0" xfId="0" applyFont="1" applyFill="1" applyAlignment="1" applyProtection="1">
      <alignment/>
      <protection/>
    </xf>
    <xf numFmtId="173" fontId="9" fillId="0" borderId="21" xfId="100" applyNumberFormat="1" applyFont="1" applyBorder="1" applyAlignment="1" applyProtection="1">
      <alignment/>
      <protection/>
    </xf>
    <xf numFmtId="173" fontId="0" fillId="0" borderId="6" xfId="100" applyNumberFormat="1" applyFont="1" applyBorder="1" applyAlignment="1" applyProtection="1">
      <alignment/>
      <protection/>
    </xf>
    <xf numFmtId="173" fontId="0" fillId="0" borderId="22" xfId="100"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0" borderId="26" xfId="0" applyFont="1" applyFill="1" applyBorder="1" applyAlignment="1" applyProtection="1">
      <alignment horizontal="center"/>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19"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4"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20"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20"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21"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9" xfId="0" applyFont="1" applyBorder="1" applyAlignment="1" applyProtection="1">
      <alignment horizontal="center" wrapText="1"/>
      <protection/>
    </xf>
    <xf numFmtId="173" fontId="9" fillId="0" borderId="0" xfId="100" applyNumberFormat="1" applyFont="1" applyBorder="1" applyAlignment="1" applyProtection="1">
      <alignment horizontal="center" wrapText="1"/>
      <protection/>
    </xf>
    <xf numFmtId="173" fontId="9" fillId="0" borderId="29" xfId="100" applyNumberFormat="1" applyFont="1" applyBorder="1" applyAlignment="1" applyProtection="1">
      <alignment horizontal="center" wrapText="1"/>
      <protection/>
    </xf>
    <xf numFmtId="173" fontId="9" fillId="0" borderId="24" xfId="100" applyNumberFormat="1" applyFont="1" applyBorder="1" applyAlignment="1" applyProtection="1">
      <alignment horizontal="center" wrapText="1"/>
      <protection/>
    </xf>
    <xf numFmtId="0" fontId="9" fillId="0" borderId="30" xfId="0" applyFont="1" applyBorder="1" applyAlignment="1" applyProtection="1">
      <alignment horizontal="center" wrapText="1"/>
      <protection/>
    </xf>
    <xf numFmtId="173" fontId="9" fillId="21" borderId="29" xfId="100" applyNumberFormat="1" applyFont="1" applyFill="1" applyBorder="1" applyAlignment="1" applyProtection="1">
      <alignment horizontal="center" wrapText="1"/>
      <protection/>
    </xf>
    <xf numFmtId="0" fontId="9" fillId="0" borderId="31"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31" xfId="100" applyNumberFormat="1" applyFont="1" applyBorder="1" applyAlignment="1" applyProtection="1">
      <alignment horizontal="center"/>
      <protection/>
    </xf>
    <xf numFmtId="173" fontId="9" fillId="0" borderId="22" xfId="100" applyNumberFormat="1" applyFont="1" applyBorder="1" applyAlignment="1" applyProtection="1">
      <alignment horizontal="center"/>
      <protection/>
    </xf>
    <xf numFmtId="0" fontId="9" fillId="0" borderId="31" xfId="0" applyFont="1" applyFill="1" applyBorder="1" applyAlignment="1" applyProtection="1">
      <alignment horizontal="center"/>
      <protection/>
    </xf>
    <xf numFmtId="0" fontId="9" fillId="0" borderId="30" xfId="0" applyFont="1" applyFill="1" applyBorder="1" applyAlignment="1" applyProtection="1">
      <alignment horizontal="center"/>
      <protection/>
    </xf>
    <xf numFmtId="173" fontId="9" fillId="21" borderId="31" xfId="100" applyNumberFormat="1" applyFont="1" applyFill="1" applyBorder="1" applyAlignment="1" applyProtection="1">
      <alignment horizontal="center"/>
      <protection/>
    </xf>
    <xf numFmtId="0" fontId="0" fillId="0" borderId="30" xfId="0" applyNumberFormat="1" applyFont="1" applyBorder="1" applyAlignment="1" applyProtection="1">
      <alignment horizontal="center"/>
      <protection/>
    </xf>
    <xf numFmtId="173" fontId="0" fillId="0" borderId="30" xfId="0" applyNumberFormat="1" applyFont="1" applyBorder="1" applyAlignment="1" applyProtection="1">
      <alignment/>
      <protection/>
    </xf>
    <xf numFmtId="173" fontId="0" fillId="0" borderId="30" xfId="100" applyNumberFormat="1" applyFont="1" applyFill="1" applyBorder="1" applyAlignment="1" applyProtection="1">
      <alignment/>
      <protection/>
    </xf>
    <xf numFmtId="173" fontId="0" fillId="0" borderId="20" xfId="100" applyNumberFormat="1" applyFont="1" applyFill="1" applyBorder="1" applyAlignment="1" applyProtection="1">
      <alignment/>
      <protection/>
    </xf>
    <xf numFmtId="174" fontId="0" fillId="0" borderId="30" xfId="0" applyNumberFormat="1" applyFont="1" applyBorder="1" applyAlignment="1" applyProtection="1">
      <alignment/>
      <protection/>
    </xf>
    <xf numFmtId="174" fontId="0" fillId="21" borderId="29" xfId="0" applyNumberFormat="1" applyFont="1" applyFill="1" applyBorder="1" applyAlignment="1" applyProtection="1">
      <alignment/>
      <protection/>
    </xf>
    <xf numFmtId="173" fontId="0" fillId="0" borderId="30" xfId="100" applyNumberFormat="1" applyFont="1" applyBorder="1" applyAlignment="1" applyProtection="1">
      <alignment/>
      <protection/>
    </xf>
    <xf numFmtId="173" fontId="0" fillId="0" borderId="20" xfId="100" applyNumberFormat="1" applyFont="1" applyBorder="1" applyAlignment="1" applyProtection="1">
      <alignment/>
      <protection/>
    </xf>
    <xf numFmtId="174" fontId="0" fillId="21" borderId="30" xfId="0" applyNumberFormat="1" applyFont="1" applyFill="1" applyBorder="1" applyAlignment="1" applyProtection="1">
      <alignment/>
      <protection/>
    </xf>
    <xf numFmtId="174" fontId="0" fillId="21" borderId="30" xfId="0" applyNumberFormat="1" applyFont="1" applyFill="1" applyBorder="1" applyAlignment="1" applyProtection="1">
      <alignment wrapText="1"/>
      <protection/>
    </xf>
    <xf numFmtId="0" fontId="0" fillId="0" borderId="31"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31" xfId="0" applyNumberFormat="1" applyFont="1" applyBorder="1" applyAlignment="1" applyProtection="1">
      <alignment/>
      <protection/>
    </xf>
    <xf numFmtId="173" fontId="0" fillId="0" borderId="31" xfId="100" applyNumberFormat="1" applyFont="1" applyBorder="1" applyAlignment="1" applyProtection="1">
      <alignment/>
      <protection/>
    </xf>
    <xf numFmtId="174" fontId="0" fillId="0" borderId="31" xfId="0" applyNumberFormat="1" applyFont="1" applyBorder="1" applyAlignment="1" applyProtection="1">
      <alignment/>
      <protection/>
    </xf>
    <xf numFmtId="174" fontId="0" fillId="21" borderId="31" xfId="0" applyNumberFormat="1" applyFont="1" applyFill="1" applyBorder="1" applyAlignment="1" applyProtection="1">
      <alignment/>
      <protection/>
    </xf>
    <xf numFmtId="174" fontId="0" fillId="0" borderId="0" xfId="0" applyNumberFormat="1" applyFont="1" applyBorder="1" applyAlignment="1" applyProtection="1">
      <alignment/>
      <protection/>
    </xf>
    <xf numFmtId="0" fontId="8" fillId="6" borderId="0" xfId="100" applyNumberFormat="1" applyFont="1" applyFill="1" applyAlignment="1" applyProtection="1">
      <alignment/>
      <protection locked="0"/>
    </xf>
    <xf numFmtId="0" fontId="18" fillId="6" borderId="0" xfId="100" applyNumberFormat="1" applyFont="1" applyFill="1" applyAlignment="1" applyProtection="1">
      <alignment horizontal="left"/>
      <protection locked="0"/>
    </xf>
    <xf numFmtId="0" fontId="8" fillId="6" borderId="22" xfId="0" applyFont="1" applyFill="1" applyBorder="1" applyAlignment="1" applyProtection="1">
      <alignment horizontal="right"/>
      <protection locked="0"/>
    </xf>
    <xf numFmtId="173" fontId="8" fillId="6" borderId="20" xfId="100" applyNumberFormat="1" applyFont="1" applyFill="1" applyBorder="1" applyAlignment="1" applyProtection="1">
      <alignment horizontal="right"/>
      <protection locked="0"/>
    </xf>
    <xf numFmtId="0" fontId="8" fillId="6" borderId="20" xfId="0" applyFont="1" applyFill="1" applyBorder="1" applyAlignment="1" applyProtection="1">
      <alignment horizontal="right"/>
      <protection locked="0"/>
    </xf>
    <xf numFmtId="173" fontId="8" fillId="0" borderId="20" xfId="0" applyNumberFormat="1" applyFont="1" applyFill="1" applyBorder="1" applyAlignment="1" applyProtection="1">
      <alignment horizontal="right"/>
      <protection/>
    </xf>
    <xf numFmtId="174" fontId="8" fillId="6" borderId="29" xfId="0" applyNumberFormat="1" applyFont="1" applyFill="1" applyBorder="1" applyAlignment="1" applyProtection="1">
      <alignment/>
      <protection locked="0"/>
    </xf>
    <xf numFmtId="174" fontId="8" fillId="6" borderId="30" xfId="0" applyNumberFormat="1" applyFont="1" applyFill="1" applyBorder="1" applyAlignment="1" applyProtection="1">
      <alignment/>
      <protection locked="0"/>
    </xf>
    <xf numFmtId="174" fontId="8" fillId="6" borderId="31" xfId="0" applyNumberFormat="1" applyFont="1" applyFill="1" applyBorder="1" applyAlignment="1" applyProtection="1">
      <alignment/>
      <protection locked="0"/>
    </xf>
    <xf numFmtId="10" fontId="0" fillId="0" borderId="0" xfId="301" applyNumberFormat="1" applyFont="1" applyAlignment="1" applyProtection="1">
      <alignment horizontal="right"/>
      <protection/>
    </xf>
    <xf numFmtId="172" fontId="0" fillId="0" borderId="23" xfId="288" applyFont="1" applyBorder="1" applyAlignment="1" applyProtection="1">
      <alignment/>
      <protection/>
    </xf>
    <xf numFmtId="172" fontId="0" fillId="0" borderId="17" xfId="288" applyFont="1" applyBorder="1" applyAlignment="1" applyProtection="1">
      <alignment/>
      <protection/>
    </xf>
    <xf numFmtId="3" fontId="0" fillId="0" borderId="24" xfId="288" applyNumberFormat="1" applyFont="1" applyBorder="1" applyAlignment="1" applyProtection="1">
      <alignment/>
      <protection/>
    </xf>
    <xf numFmtId="172" fontId="0" fillId="0" borderId="19" xfId="288" applyFont="1" applyBorder="1" applyAlignment="1" applyProtection="1">
      <alignment/>
      <protection/>
    </xf>
    <xf numFmtId="3" fontId="0" fillId="0" borderId="20" xfId="288" applyNumberFormat="1" applyFont="1" applyBorder="1" applyAlignment="1" applyProtection="1">
      <alignment/>
      <protection/>
    </xf>
    <xf numFmtId="0" fontId="0" fillId="0" borderId="0" xfId="288" applyNumberFormat="1" applyFont="1" applyBorder="1" applyAlignment="1" applyProtection="1" quotePrefix="1">
      <alignment horizontal="center"/>
      <protection/>
    </xf>
    <xf numFmtId="0" fontId="0" fillId="0" borderId="20"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9" xfId="0" applyFont="1" applyBorder="1" applyAlignment="1" applyProtection="1">
      <alignment/>
      <protection/>
    </xf>
    <xf numFmtId="174" fontId="0" fillId="0" borderId="20" xfId="0" applyNumberFormat="1" applyFont="1" applyBorder="1" applyAlignment="1" applyProtection="1">
      <alignment/>
      <protection/>
    </xf>
    <xf numFmtId="174" fontId="0" fillId="0" borderId="22" xfId="0" applyNumberFormat="1" applyFont="1" applyBorder="1" applyAlignment="1" applyProtection="1">
      <alignment/>
      <protection/>
    </xf>
    <xf numFmtId="173" fontId="0" fillId="0" borderId="24" xfId="0" applyNumberFormat="1" applyFont="1" applyBorder="1" applyAlignment="1" applyProtection="1">
      <alignment/>
      <protection/>
    </xf>
    <xf numFmtId="166" fontId="0" fillId="0" borderId="21" xfId="288" applyNumberFormat="1" applyFont="1" applyBorder="1" applyAlignment="1" applyProtection="1">
      <alignment horizontal="center"/>
      <protection/>
    </xf>
    <xf numFmtId="0" fontId="0" fillId="0" borderId="6" xfId="288" applyNumberFormat="1" applyFont="1" applyBorder="1" applyAlignment="1" applyProtection="1">
      <alignment horizontal="center"/>
      <protection/>
    </xf>
    <xf numFmtId="173" fontId="0" fillId="0" borderId="6" xfId="288" applyNumberFormat="1" applyFont="1" applyBorder="1" applyAlignment="1" applyProtection="1" quotePrefix="1">
      <alignment horizontal="center"/>
      <protection/>
    </xf>
    <xf numFmtId="41" fontId="0" fillId="0" borderId="0" xfId="288" applyNumberFormat="1" applyFont="1" applyFill="1" applyBorder="1" applyAlignment="1" applyProtection="1">
      <alignment horizontal="right"/>
      <protection/>
    </xf>
    <xf numFmtId="41" fontId="0" fillId="0" borderId="11" xfId="288" applyNumberFormat="1" applyFont="1" applyFill="1" applyBorder="1" applyAlignment="1" applyProtection="1">
      <alignment/>
      <protection/>
    </xf>
    <xf numFmtId="10" fontId="0" fillId="0" borderId="0" xfId="301"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182" fontId="0" fillId="0" borderId="0" xfId="100" applyNumberFormat="1" applyFont="1" applyAlignment="1" applyProtection="1">
      <alignment/>
      <protection/>
    </xf>
    <xf numFmtId="0" fontId="9" fillId="0" borderId="23" xfId="0" applyFont="1" applyFill="1" applyBorder="1" applyAlignment="1" applyProtection="1">
      <alignment horizontal="center"/>
      <protection/>
    </xf>
    <xf numFmtId="173" fontId="0" fillId="0" borderId="19" xfId="100" applyNumberFormat="1" applyFont="1" applyBorder="1" applyAlignment="1" applyProtection="1">
      <alignment/>
      <protection/>
    </xf>
    <xf numFmtId="173" fontId="9" fillId="0" borderId="0" xfId="100" applyNumberFormat="1" applyFont="1" applyBorder="1" applyAlignment="1" applyProtection="1">
      <alignment/>
      <protection/>
    </xf>
    <xf numFmtId="173" fontId="0" fillId="0" borderId="20" xfId="0" applyNumberFormat="1" applyFont="1" applyBorder="1" applyAlignment="1" applyProtection="1">
      <alignment/>
      <protection/>
    </xf>
    <xf numFmtId="173" fontId="9" fillId="0" borderId="11" xfId="100" applyNumberFormat="1" applyFont="1" applyBorder="1" applyAlignment="1" applyProtection="1">
      <alignment/>
      <protection/>
    </xf>
    <xf numFmtId="173" fontId="0" fillId="0" borderId="25" xfId="0" applyNumberFormat="1" applyFont="1" applyBorder="1" applyAlignment="1" applyProtection="1">
      <alignment/>
      <protection/>
    </xf>
    <xf numFmtId="173" fontId="9" fillId="0" borderId="6" xfId="100" applyNumberFormat="1" applyFont="1" applyFill="1" applyBorder="1" applyAlignment="1" applyProtection="1">
      <alignment horizontal="left"/>
      <protection/>
    </xf>
    <xf numFmtId="173" fontId="9" fillId="0" borderId="22" xfId="100" applyNumberFormat="1" applyFont="1" applyFill="1" applyBorder="1" applyAlignment="1" applyProtection="1">
      <alignment horizontal="left"/>
      <protection/>
    </xf>
    <xf numFmtId="173" fontId="0" fillId="0" borderId="29" xfId="0" applyNumberFormat="1" applyFont="1" applyBorder="1" applyAlignment="1" applyProtection="1">
      <alignment/>
      <protection/>
    </xf>
    <xf numFmtId="174" fontId="0" fillId="0" borderId="29" xfId="0" applyNumberFormat="1" applyFont="1" applyBorder="1" applyAlignment="1" applyProtection="1">
      <alignment/>
      <protection/>
    </xf>
    <xf numFmtId="0" fontId="0" fillId="0" borderId="0" xfId="0" applyFill="1" applyAlignment="1" applyProtection="1">
      <alignment wrapText="1"/>
      <protection/>
    </xf>
    <xf numFmtId="0" fontId="83" fillId="0" borderId="0" xfId="280" applyFont="1" applyFill="1" applyProtection="1">
      <alignment/>
      <protection/>
    </xf>
    <xf numFmtId="0" fontId="9" fillId="0" borderId="0" xfId="280" applyFont="1" applyFill="1" applyProtection="1">
      <alignment/>
      <protection/>
    </xf>
    <xf numFmtId="3" fontId="9" fillId="0" borderId="0" xfId="288" applyNumberFormat="1" applyFont="1" applyFill="1" applyAlignment="1" applyProtection="1">
      <alignment/>
      <protection/>
    </xf>
    <xf numFmtId="0" fontId="0" fillId="0" borderId="0" xfId="280" applyFont="1" applyFill="1" applyProtection="1">
      <alignment/>
      <protection/>
    </xf>
    <xf numFmtId="0" fontId="0" fillId="0" borderId="0" xfId="280" applyFont="1" applyFill="1" applyAlignment="1" applyProtection="1">
      <alignment horizontal="left"/>
      <protection/>
    </xf>
    <xf numFmtId="0" fontId="0" fillId="0" borderId="0" xfId="280" applyFont="1" applyFill="1" applyAlignment="1" applyProtection="1">
      <alignment horizontal="left"/>
      <protection/>
    </xf>
    <xf numFmtId="0" fontId="9" fillId="0" borderId="0" xfId="280" applyFont="1" applyFill="1" applyAlignment="1" applyProtection="1">
      <alignment horizontal="left"/>
      <protection/>
    </xf>
    <xf numFmtId="173" fontId="8" fillId="6" borderId="0" xfId="100" applyNumberFormat="1" applyFont="1" applyFill="1" applyBorder="1" applyAlignment="1" applyProtection="1">
      <alignment/>
      <protection locked="0"/>
    </xf>
    <xf numFmtId="10" fontId="8" fillId="6" borderId="0" xfId="301" applyNumberFormat="1" applyFont="1" applyFill="1" applyAlignment="1" applyProtection="1">
      <alignment horizontal="right" wrapText="1"/>
      <protection locked="0"/>
    </xf>
    <xf numFmtId="44" fontId="8" fillId="6" borderId="0" xfId="137" applyFont="1" applyFill="1" applyAlignment="1" applyProtection="1">
      <alignment horizontal="right" wrapText="1"/>
      <protection locked="0"/>
    </xf>
    <xf numFmtId="173" fontId="8" fillId="6" borderId="0" xfId="100" applyNumberFormat="1" applyFont="1" applyFill="1" applyAlignment="1" applyProtection="1">
      <alignment/>
      <protection locked="0"/>
    </xf>
    <xf numFmtId="194" fontId="8" fillId="6" borderId="0" xfId="0" applyNumberFormat="1" applyFont="1" applyFill="1" applyAlignment="1" applyProtection="1">
      <alignment/>
      <protection locked="0"/>
    </xf>
    <xf numFmtId="0" fontId="0" fillId="6" borderId="0" xfId="0" applyFill="1" applyAlignment="1" applyProtection="1">
      <alignment horizontal="center"/>
      <protection locked="0"/>
    </xf>
    <xf numFmtId="0" fontId="8" fillId="6" borderId="0" xfId="0" applyFont="1" applyFill="1" applyAlignment="1" applyProtection="1">
      <alignment/>
      <protection locked="0"/>
    </xf>
    <xf numFmtId="0" fontId="94" fillId="0" borderId="0" xfId="291" applyFont="1" applyAlignment="1" applyProtection="1">
      <alignment/>
      <protection/>
    </xf>
    <xf numFmtId="0" fontId="1" fillId="0" borderId="0" xfId="291" applyProtection="1">
      <alignment/>
      <protection/>
    </xf>
    <xf numFmtId="0" fontId="95" fillId="0" borderId="0" xfId="291" applyFont="1" applyProtection="1">
      <alignment/>
      <protection/>
    </xf>
    <xf numFmtId="0" fontId="96" fillId="0" borderId="0" xfId="291" applyFont="1" applyAlignment="1" applyProtection="1">
      <alignment horizontal="center"/>
      <protection/>
    </xf>
    <xf numFmtId="0" fontId="103" fillId="0" borderId="0" xfId="291" applyFont="1" applyAlignment="1" applyProtection="1">
      <alignment horizontal="center"/>
      <protection/>
    </xf>
    <xf numFmtId="0" fontId="1" fillId="0" borderId="0" xfId="291" applyFont="1" applyAlignment="1" applyProtection="1">
      <alignment horizontal="center"/>
      <protection/>
    </xf>
    <xf numFmtId="0" fontId="97" fillId="0" borderId="15" xfId="291" applyFont="1" applyBorder="1" applyProtection="1">
      <alignment/>
      <protection/>
    </xf>
    <xf numFmtId="0" fontId="95" fillId="0" borderId="15" xfId="291" applyFont="1" applyBorder="1" applyProtection="1">
      <alignment/>
      <protection/>
    </xf>
    <xf numFmtId="0" fontId="97" fillId="0" borderId="0" xfId="291" applyFont="1" applyBorder="1" applyProtection="1">
      <alignment/>
      <protection/>
    </xf>
    <xf numFmtId="0" fontId="95" fillId="0" borderId="0" xfId="291" applyFont="1" applyBorder="1" applyProtection="1">
      <alignment/>
      <protection/>
    </xf>
    <xf numFmtId="0" fontId="1" fillId="0" borderId="0" xfId="291" applyFont="1" applyFill="1" applyBorder="1" applyAlignment="1" applyProtection="1">
      <alignment horizontal="left"/>
      <protection/>
    </xf>
    <xf numFmtId="0" fontId="1" fillId="0" borderId="0" xfId="291" applyFill="1" applyProtection="1">
      <alignment/>
      <protection/>
    </xf>
    <xf numFmtId="0" fontId="1" fillId="0" borderId="0" xfId="291" applyFont="1" applyFill="1" applyBorder="1" applyProtection="1">
      <alignment/>
      <protection/>
    </xf>
    <xf numFmtId="196" fontId="1" fillId="0" borderId="0" xfId="291" applyNumberFormat="1" applyFill="1" applyProtection="1">
      <alignment/>
      <protection/>
    </xf>
    <xf numFmtId="0" fontId="1" fillId="0" borderId="0" xfId="291" applyFont="1" applyFill="1" applyBorder="1" applyAlignment="1" applyProtection="1">
      <alignment wrapText="1"/>
      <protection/>
    </xf>
    <xf numFmtId="0" fontId="0" fillId="0" borderId="0" xfId="0" applyFill="1" applyBorder="1" applyAlignment="1" applyProtection="1">
      <alignment wrapText="1"/>
      <protection/>
    </xf>
    <xf numFmtId="0" fontId="98" fillId="0" borderId="32" xfId="291" applyFont="1" applyFill="1" applyBorder="1" applyProtection="1">
      <alignment/>
      <protection/>
    </xf>
    <xf numFmtId="0" fontId="76" fillId="0" borderId="2" xfId="291" applyFont="1" applyFill="1" applyBorder="1" applyAlignment="1" applyProtection="1">
      <alignment horizontal="center"/>
      <protection/>
    </xf>
    <xf numFmtId="0" fontId="76" fillId="0" borderId="33" xfId="291" applyFont="1" applyFill="1" applyBorder="1" applyAlignment="1" applyProtection="1">
      <alignment horizontal="center"/>
      <protection/>
    </xf>
    <xf numFmtId="0" fontId="1" fillId="0" borderId="34" xfId="291" applyFont="1" applyFill="1" applyBorder="1" applyProtection="1">
      <alignment/>
      <protection/>
    </xf>
    <xf numFmtId="3" fontId="1" fillId="0" borderId="0" xfId="291" applyNumberFormat="1" applyFont="1" applyFill="1" applyBorder="1" applyProtection="1">
      <alignment/>
      <protection/>
    </xf>
    <xf numFmtId="3" fontId="1" fillId="0" borderId="35" xfId="291" applyNumberFormat="1" applyFill="1" applyBorder="1" applyProtection="1">
      <alignment/>
      <protection/>
    </xf>
    <xf numFmtId="0" fontId="3" fillId="0" borderId="34" xfId="291" applyFont="1" applyFill="1" applyBorder="1" applyProtection="1">
      <alignment/>
      <protection/>
    </xf>
    <xf numFmtId="0" fontId="1" fillId="0" borderId="36" xfId="291" applyFont="1" applyFill="1" applyBorder="1" applyProtection="1">
      <alignment/>
      <protection/>
    </xf>
    <xf numFmtId="10" fontId="1" fillId="0" borderId="11" xfId="301" applyNumberFormat="1" applyFont="1" applyFill="1" applyBorder="1" applyAlignment="1" applyProtection="1">
      <alignment horizontal="center"/>
      <protection/>
    </xf>
    <xf numFmtId="10" fontId="71" fillId="0" borderId="37" xfId="301" applyNumberFormat="1" applyFont="1" applyFill="1" applyBorder="1" applyAlignment="1" applyProtection="1">
      <alignment horizontal="center"/>
      <protection/>
    </xf>
    <xf numFmtId="0" fontId="1" fillId="0" borderId="0" xfId="291" applyBorder="1" applyProtection="1">
      <alignment/>
      <protection/>
    </xf>
    <xf numFmtId="0" fontId="1" fillId="0" borderId="0" xfId="291" applyFont="1" applyBorder="1" applyProtection="1">
      <alignment/>
      <protection/>
    </xf>
    <xf numFmtId="0" fontId="0" fillId="0" borderId="0" xfId="296" applyFont="1" applyProtection="1">
      <alignment/>
      <protection/>
    </xf>
    <xf numFmtId="0" fontId="9" fillId="0" borderId="0" xfId="296" applyFont="1" applyAlignment="1" applyProtection="1">
      <alignment horizontal="center" wrapText="1"/>
      <protection/>
    </xf>
    <xf numFmtId="173" fontId="0" fillId="0" borderId="11" xfId="100"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0" fontId="0" fillId="0" borderId="0" xfId="280" applyFont="1" applyFill="1" applyAlignment="1" applyProtection="1">
      <alignment horizontal="left" vertical="top" wrapText="1"/>
      <protection/>
    </xf>
    <xf numFmtId="0" fontId="100" fillId="0" borderId="0" xfId="296" applyProtection="1">
      <alignment/>
      <protection/>
    </xf>
    <xf numFmtId="0" fontId="9" fillId="0" borderId="0" xfId="296" applyFont="1" applyFill="1" applyProtection="1">
      <alignment/>
      <protection/>
    </xf>
    <xf numFmtId="173" fontId="0" fillId="0" borderId="0" xfId="296" applyNumberFormat="1" applyFont="1" applyProtection="1">
      <alignment/>
      <protection/>
    </xf>
    <xf numFmtId="0" fontId="0" fillId="0" borderId="0" xfId="296" applyFont="1" applyAlignment="1" applyProtection="1">
      <alignment vertical="top" wrapText="1"/>
      <protection/>
    </xf>
    <xf numFmtId="10" fontId="0" fillId="0" borderId="0" xfId="296" applyNumberFormat="1" applyFont="1" applyProtection="1">
      <alignment/>
      <protection/>
    </xf>
    <xf numFmtId="44" fontId="0" fillId="0" borderId="0" xfId="296" applyNumberFormat="1" applyFont="1" applyProtection="1">
      <alignment/>
      <protection/>
    </xf>
    <xf numFmtId="0" fontId="104" fillId="0" borderId="0" xfId="296" applyFont="1" applyFill="1" applyProtection="1">
      <alignment/>
      <protection/>
    </xf>
    <xf numFmtId="173" fontId="0" fillId="0" borderId="11" xfId="296" applyNumberFormat="1" applyFont="1" applyBorder="1" applyProtection="1">
      <alignment/>
      <protection/>
    </xf>
    <xf numFmtId="10" fontId="0" fillId="0" borderId="0" xfId="301" applyNumberFormat="1" applyFont="1" applyAlignment="1" applyProtection="1">
      <alignment/>
      <protection/>
    </xf>
    <xf numFmtId="0" fontId="0" fillId="0" borderId="0" xfId="296" applyFont="1" applyFill="1" applyProtection="1">
      <alignment/>
      <protection/>
    </xf>
    <xf numFmtId="10" fontId="0" fillId="0" borderId="0" xfId="301" applyNumberFormat="1" applyFont="1" applyFill="1" applyAlignment="1" applyProtection="1">
      <alignment/>
      <protection/>
    </xf>
    <xf numFmtId="10" fontId="0" fillId="25" borderId="0" xfId="301" applyNumberFormat="1" applyFont="1" applyFill="1" applyAlignment="1" applyProtection="1">
      <alignment/>
      <protection/>
    </xf>
    <xf numFmtId="10" fontId="0" fillId="0" borderId="11" xfId="301" applyNumberFormat="1" applyFont="1" applyBorder="1" applyAlignment="1" applyProtection="1">
      <alignment/>
      <protection/>
    </xf>
    <xf numFmtId="0" fontId="9" fillId="0" borderId="0" xfId="296" applyFont="1" applyProtection="1">
      <alignment/>
      <protection/>
    </xf>
    <xf numFmtId="10" fontId="9" fillId="0" borderId="0" xfId="301" applyNumberFormat="1" applyFont="1" applyAlignment="1" applyProtection="1">
      <alignment/>
      <protection/>
    </xf>
    <xf numFmtId="173" fontId="0" fillId="0" borderId="11" xfId="100" applyNumberFormat="1" applyFont="1" applyFill="1" applyBorder="1" applyAlignment="1" applyProtection="1">
      <alignment/>
      <protection/>
    </xf>
    <xf numFmtId="0" fontId="105" fillId="0" borderId="0" xfId="296" applyFont="1" applyFill="1" applyProtection="1">
      <alignment/>
      <protection/>
    </xf>
    <xf numFmtId="0" fontId="0" fillId="0" borderId="0" xfId="280" applyFont="1" applyFill="1" applyBorder="1" applyAlignment="1" applyProtection="1">
      <alignment horizontal="left"/>
      <protection/>
    </xf>
    <xf numFmtId="0" fontId="9" fillId="0" borderId="0" xfId="296" applyFont="1" applyFill="1" applyProtection="1">
      <alignment/>
      <protection/>
    </xf>
    <xf numFmtId="173" fontId="0" fillId="0" borderId="0" xfId="296" applyNumberFormat="1" applyFont="1" applyFill="1" applyProtection="1">
      <alignment/>
      <protection/>
    </xf>
    <xf numFmtId="0" fontId="0" fillId="0" borderId="0" xfId="296" applyFont="1" applyFill="1" applyAlignment="1" applyProtection="1">
      <alignment vertical="top" wrapText="1"/>
      <protection/>
    </xf>
    <xf numFmtId="43" fontId="0" fillId="0" borderId="0" xfId="296" applyNumberFormat="1" applyFont="1" applyProtection="1">
      <alignment/>
      <protection/>
    </xf>
    <xf numFmtId="10" fontId="0" fillId="0" borderId="11" xfId="301" applyNumberFormat="1" applyFont="1" applyFill="1" applyBorder="1" applyAlignment="1" applyProtection="1">
      <alignment/>
      <protection/>
    </xf>
    <xf numFmtId="10" fontId="9" fillId="0" borderId="0" xfId="301" applyNumberFormat="1" applyFont="1" applyFill="1" applyAlignment="1" applyProtection="1">
      <alignment/>
      <protection/>
    </xf>
    <xf numFmtId="10" fontId="0" fillId="6" borderId="0" xfId="301" applyNumberFormat="1" applyFont="1" applyFill="1" applyAlignment="1" applyProtection="1">
      <alignment horizontal="right" wrapText="1"/>
      <protection locked="0"/>
    </xf>
    <xf numFmtId="164" fontId="8" fillId="6" borderId="0" xfId="301" applyNumberFormat="1" applyFont="1" applyFill="1" applyAlignment="1" applyProtection="1">
      <alignment horizontal="right" wrapText="1"/>
      <protection locked="0"/>
    </xf>
    <xf numFmtId="44" fontId="0" fillId="6" borderId="0" xfId="137" applyFont="1" applyFill="1" applyAlignment="1" applyProtection="1">
      <alignment horizontal="right" wrapText="1"/>
      <protection locked="0"/>
    </xf>
    <xf numFmtId="173" fontId="0" fillId="6" borderId="0" xfId="100" applyNumberFormat="1" applyFont="1" applyFill="1" applyAlignment="1" applyProtection="1">
      <alignment/>
      <protection locked="0"/>
    </xf>
    <xf numFmtId="170" fontId="110" fillId="6" borderId="31" xfId="0" applyNumberFormat="1" applyFont="1" applyFill="1" applyBorder="1" applyAlignment="1" applyProtection="1">
      <alignment horizontal="center"/>
      <protection locked="0"/>
    </xf>
    <xf numFmtId="0" fontId="110" fillId="0" borderId="0" xfId="0" applyFont="1" applyFill="1" applyAlignment="1" applyProtection="1">
      <alignment horizontal="left"/>
      <protection/>
    </xf>
    <xf numFmtId="0" fontId="110" fillId="0" borderId="0" xfId="0" applyFont="1" applyFill="1" applyAlignment="1" applyProtection="1">
      <alignment/>
      <protection/>
    </xf>
    <xf numFmtId="0" fontId="110" fillId="0" borderId="29" xfId="0" applyFont="1" applyFill="1" applyBorder="1" applyAlignment="1" applyProtection="1">
      <alignment horizontal="center" wrapText="1"/>
      <protection/>
    </xf>
    <xf numFmtId="0" fontId="110" fillId="0" borderId="30" xfId="0" applyFont="1" applyFill="1" applyBorder="1" applyAlignment="1" applyProtection="1">
      <alignment horizontal="center" wrapText="1"/>
      <protection/>
    </xf>
    <xf numFmtId="0" fontId="110" fillId="0" borderId="30" xfId="0" applyFont="1" applyFill="1" applyBorder="1" applyAlignment="1" applyProtection="1">
      <alignment/>
      <protection/>
    </xf>
    <xf numFmtId="170" fontId="111" fillId="0" borderId="0" xfId="0" applyNumberFormat="1" applyFont="1" applyFill="1" applyAlignment="1" applyProtection="1">
      <alignment horizontal="right"/>
      <protection/>
    </xf>
    <xf numFmtId="170" fontId="110" fillId="0" borderId="0" xfId="0" applyNumberFormat="1" applyFont="1" applyFill="1" applyAlignment="1" applyProtection="1">
      <alignment horizontal="center"/>
      <protection/>
    </xf>
    <xf numFmtId="170" fontId="110" fillId="0" borderId="0" xfId="0" applyNumberFormat="1" applyFont="1" applyFill="1" applyAlignment="1" applyProtection="1">
      <alignment/>
      <protection/>
    </xf>
    <xf numFmtId="170" fontId="111" fillId="0" borderId="0" xfId="0" applyNumberFormat="1" applyFont="1" applyFill="1" applyAlignment="1" applyProtection="1">
      <alignment horizontal="center"/>
      <protection/>
    </xf>
    <xf numFmtId="170" fontId="3" fillId="0" borderId="0" xfId="0" applyNumberFormat="1" applyFont="1" applyFill="1" applyAlignment="1" applyProtection="1">
      <alignment/>
      <protection/>
    </xf>
    <xf numFmtId="5" fontId="110" fillId="0" borderId="31" xfId="0" applyNumberFormat="1" applyFont="1" applyFill="1" applyBorder="1" applyAlignment="1" applyProtection="1">
      <alignment horizontal="center"/>
      <protection/>
    </xf>
    <xf numFmtId="173" fontId="110" fillId="0" borderId="0" xfId="0" applyNumberFormat="1" applyFont="1" applyFill="1" applyAlignment="1" applyProtection="1">
      <alignment/>
      <protection/>
    </xf>
    <xf numFmtId="0" fontId="110" fillId="0" borderId="0" xfId="0" applyFont="1" applyFill="1" applyAlignment="1" applyProtection="1">
      <alignment horizontal="center"/>
      <protection/>
    </xf>
    <xf numFmtId="173" fontId="110" fillId="0" borderId="6" xfId="0" applyNumberFormat="1" applyFont="1" applyFill="1" applyBorder="1" applyAlignment="1" applyProtection="1">
      <alignment/>
      <protection/>
    </xf>
    <xf numFmtId="0" fontId="110"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0" fillId="0" borderId="0" xfId="0" applyNumberFormat="1" applyFont="1" applyFill="1" applyAlignment="1" applyProtection="1">
      <alignment horizontal="left"/>
      <protection/>
    </xf>
    <xf numFmtId="0" fontId="111" fillId="0" borderId="0" xfId="0" applyNumberFormat="1" applyFont="1" applyFill="1" applyAlignment="1" applyProtection="1">
      <alignment horizontal="left"/>
      <protection/>
    </xf>
    <xf numFmtId="0" fontId="111" fillId="0" borderId="0" xfId="0" applyFont="1" applyFill="1" applyAlignment="1" applyProtection="1">
      <alignment horizontal="center" wrapText="1"/>
      <protection/>
    </xf>
    <xf numFmtId="0" fontId="111" fillId="0" borderId="0" xfId="0" applyFont="1" applyFill="1" applyAlignment="1" applyProtection="1">
      <alignment horizontal="center"/>
      <protection/>
    </xf>
    <xf numFmtId="173" fontId="111" fillId="0" borderId="0" xfId="0" applyNumberFormat="1" applyFont="1" applyFill="1" applyAlignment="1" applyProtection="1">
      <alignment horizontal="center" wrapText="1"/>
      <protection/>
    </xf>
    <xf numFmtId="173" fontId="111" fillId="0" borderId="0" xfId="0" applyNumberFormat="1" applyFont="1" applyFill="1" applyAlignment="1" applyProtection="1">
      <alignment horizontal="center"/>
      <protection/>
    </xf>
    <xf numFmtId="176" fontId="110" fillId="0" borderId="0" xfId="302" applyNumberFormat="1" applyFont="1" applyFill="1" applyAlignment="1" applyProtection="1">
      <alignment/>
      <protection/>
    </xf>
    <xf numFmtId="173" fontId="110" fillId="0" borderId="0" xfId="0" applyNumberFormat="1" applyFont="1" applyFill="1" applyAlignment="1" applyProtection="1">
      <alignment horizontal="center"/>
      <protection/>
    </xf>
    <xf numFmtId="0" fontId="112" fillId="0" borderId="0" xfId="0" applyFont="1" applyFill="1" applyAlignment="1" applyProtection="1">
      <alignment horizontal="center"/>
      <protection/>
    </xf>
    <xf numFmtId="173" fontId="110" fillId="0" borderId="0" xfId="104" applyNumberFormat="1" applyFont="1" applyFill="1" applyAlignment="1" applyProtection="1">
      <alignment/>
      <protection/>
    </xf>
    <xf numFmtId="176" fontId="110" fillId="0" borderId="0" xfId="0" applyNumberFormat="1" applyFont="1" applyFill="1" applyAlignment="1" applyProtection="1">
      <alignment/>
      <protection/>
    </xf>
    <xf numFmtId="0" fontId="110" fillId="0" borderId="0" xfId="0" applyNumberFormat="1" applyFont="1" applyFill="1" applyAlignment="1" applyProtection="1">
      <alignment/>
      <protection/>
    </xf>
    <xf numFmtId="173" fontId="110" fillId="0" borderId="11" xfId="104" applyNumberFormat="1" applyFont="1" applyFill="1" applyBorder="1" applyAlignment="1" applyProtection="1">
      <alignment/>
      <protection/>
    </xf>
    <xf numFmtId="173" fontId="111" fillId="0" borderId="0" xfId="104" applyNumberFormat="1" applyFont="1" applyFill="1" applyAlignment="1" applyProtection="1">
      <alignment/>
      <protection/>
    </xf>
    <xf numFmtId="173" fontId="111" fillId="0" borderId="0" xfId="104" applyNumberFormat="1" applyFont="1" applyFill="1" applyAlignment="1" applyProtection="1">
      <alignment horizontal="center"/>
      <protection/>
    </xf>
    <xf numFmtId="0" fontId="112" fillId="0" borderId="0" xfId="0" applyFont="1" applyFill="1" applyAlignment="1" applyProtection="1">
      <alignment/>
      <protection/>
    </xf>
    <xf numFmtId="173" fontId="111" fillId="0" borderId="0" xfId="0" applyNumberFormat="1" applyFont="1" applyFill="1" applyAlignment="1" applyProtection="1">
      <alignment/>
      <protection/>
    </xf>
    <xf numFmtId="202" fontId="3" fillId="0" borderId="0" xfId="0" applyNumberFormat="1" applyFont="1" applyFill="1" applyAlignment="1" applyProtection="1">
      <alignment/>
      <protection/>
    </xf>
    <xf numFmtId="173" fontId="3" fillId="0" borderId="0" xfId="104" applyNumberFormat="1" applyFont="1" applyFill="1" applyAlignment="1" applyProtection="1">
      <alignment/>
      <protection/>
    </xf>
    <xf numFmtId="173" fontId="3" fillId="0" borderId="0" xfId="139" applyNumberFormat="1" applyFont="1" applyFill="1" applyAlignment="1" applyProtection="1">
      <alignment/>
      <protection/>
    </xf>
    <xf numFmtId="176" fontId="110" fillId="6" borderId="0" xfId="302" applyNumberFormat="1" applyFont="1" applyFill="1" applyAlignment="1" applyProtection="1">
      <alignment/>
      <protection locked="0"/>
    </xf>
    <xf numFmtId="173" fontId="0" fillId="6" borderId="6" xfId="288" applyNumberFormat="1" applyFont="1" applyFill="1" applyBorder="1" applyAlignment="1" applyProtection="1">
      <alignment horizontal="center"/>
      <protection locked="0"/>
    </xf>
    <xf numFmtId="174" fontId="8" fillId="6" borderId="0" xfId="0" applyNumberFormat="1" applyFont="1" applyFill="1" applyBorder="1" applyAlignment="1" applyProtection="1">
      <alignment/>
      <protection locked="0"/>
    </xf>
    <xf numFmtId="3" fontId="3" fillId="25" borderId="0" xfId="288" applyNumberFormat="1" applyFont="1" applyFill="1" applyBorder="1" applyAlignment="1" applyProtection="1">
      <alignment/>
      <protection/>
    </xf>
    <xf numFmtId="41" fontId="0" fillId="25" borderId="0" xfId="288" applyNumberFormat="1" applyFont="1" applyFill="1" applyBorder="1" applyAlignment="1" applyProtection="1">
      <alignment/>
      <protection/>
    </xf>
    <xf numFmtId="41" fontId="0" fillId="25" borderId="0" xfId="288" applyNumberFormat="1" applyFont="1" applyFill="1" applyBorder="1" applyAlignment="1" applyProtection="1">
      <alignment horizontal="center"/>
      <protection/>
    </xf>
    <xf numFmtId="41" fontId="0" fillId="25" borderId="0" xfId="0" applyNumberFormat="1" applyFont="1" applyFill="1" applyBorder="1" applyAlignment="1" applyProtection="1">
      <alignment/>
      <protection/>
    </xf>
    <xf numFmtId="41" fontId="0" fillId="25" borderId="0" xfId="0" applyNumberFormat="1" applyFont="1" applyFill="1" applyAlignment="1" applyProtection="1">
      <alignment/>
      <protection/>
    </xf>
    <xf numFmtId="173" fontId="0" fillId="25" borderId="0" xfId="100" applyNumberFormat="1" applyFont="1" applyFill="1" applyAlignment="1" applyProtection="1">
      <alignment/>
      <protection/>
    </xf>
    <xf numFmtId="10" fontId="0" fillId="25" borderId="0" xfId="0" applyNumberFormat="1" applyFont="1" applyFill="1" applyAlignment="1" applyProtection="1">
      <alignment/>
      <protection/>
    </xf>
    <xf numFmtId="10" fontId="12" fillId="25" borderId="0" xfId="0" applyNumberFormat="1" applyFont="1" applyFill="1" applyAlignment="1" applyProtection="1">
      <alignment/>
      <protection/>
    </xf>
    <xf numFmtId="0" fontId="14" fillId="6" borderId="0" xfId="280" applyFont="1" applyFill="1" applyAlignment="1" applyProtection="1">
      <alignment horizontal="left"/>
      <protection locked="0"/>
    </xf>
    <xf numFmtId="0" fontId="14" fillId="6" borderId="0" xfId="280" applyFont="1" applyFill="1" applyProtection="1">
      <alignment/>
      <protection locked="0"/>
    </xf>
    <xf numFmtId="0" fontId="10" fillId="6" borderId="0" xfId="280" applyFont="1" applyFill="1" applyAlignment="1" applyProtection="1">
      <alignment horizontal="center"/>
      <protection locked="0"/>
    </xf>
    <xf numFmtId="41" fontId="113" fillId="6" borderId="0" xfId="280" applyNumberFormat="1" applyFont="1" applyFill="1" applyProtection="1">
      <alignment/>
      <protection locked="0"/>
    </xf>
    <xf numFmtId="0" fontId="58" fillId="0" borderId="0" xfId="280" applyFont="1" applyAlignment="1">
      <alignment horizontal="center"/>
      <protection/>
    </xf>
    <xf numFmtId="0" fontId="58" fillId="0" borderId="0" xfId="280" applyFont="1">
      <alignment/>
      <protection/>
    </xf>
    <xf numFmtId="41" fontId="58" fillId="0" borderId="0" xfId="280" applyNumberFormat="1" applyFont="1">
      <alignment/>
      <protection/>
    </xf>
    <xf numFmtId="41" fontId="113" fillId="6" borderId="11" xfId="280" applyNumberFormat="1" applyFont="1" applyFill="1" applyBorder="1" applyProtection="1">
      <alignment/>
      <protection locked="0"/>
    </xf>
    <xf numFmtId="0" fontId="58" fillId="0" borderId="0" xfId="280" applyFont="1" applyFill="1">
      <alignment/>
      <protection/>
    </xf>
    <xf numFmtId="0" fontId="58" fillId="0" borderId="0" xfId="0" applyFont="1" applyAlignment="1">
      <alignment/>
    </xf>
    <xf numFmtId="173" fontId="58" fillId="0" borderId="0" xfId="100" applyNumberFormat="1" applyFont="1" applyFill="1" applyAlignment="1">
      <alignment/>
    </xf>
    <xf numFmtId="173" fontId="114" fillId="0" borderId="0" xfId="100" applyNumberFormat="1" applyFont="1" applyFill="1" applyAlignment="1">
      <alignment/>
    </xf>
    <xf numFmtId="41" fontId="58" fillId="0" borderId="0" xfId="280" applyNumberFormat="1" applyFont="1" applyFill="1">
      <alignment/>
      <protection/>
    </xf>
    <xf numFmtId="38" fontId="58" fillId="0" borderId="0" xfId="0" applyNumberFormat="1" applyFont="1" applyFill="1" applyBorder="1" applyAlignment="1">
      <alignment/>
    </xf>
    <xf numFmtId="0" fontId="58" fillId="0" borderId="0" xfId="237" applyFont="1" applyFill="1" applyBorder="1" applyAlignment="1">
      <alignment horizontal="center"/>
      <protection/>
    </xf>
    <xf numFmtId="0" fontId="58" fillId="0" borderId="0" xfId="237" applyFont="1" applyFill="1" applyBorder="1">
      <alignment/>
      <protection/>
    </xf>
    <xf numFmtId="0" fontId="58" fillId="0" borderId="0" xfId="280" applyFont="1" applyAlignment="1">
      <alignment horizontal="left"/>
      <protection/>
    </xf>
    <xf numFmtId="3" fontId="58" fillId="0" borderId="0" xfId="237" applyNumberFormat="1" applyFont="1" applyFill="1" applyBorder="1" applyAlignment="1">
      <alignment/>
      <protection/>
    </xf>
    <xf numFmtId="38" fontId="58" fillId="0" borderId="0" xfId="0" applyNumberFormat="1" applyFont="1" applyFill="1" applyBorder="1" applyAlignment="1">
      <alignment horizontal="center"/>
    </xf>
    <xf numFmtId="0" fontId="115" fillId="0" borderId="0" xfId="280" applyFont="1" applyAlignment="1">
      <alignment horizontal="center"/>
      <protection/>
    </xf>
    <xf numFmtId="0" fontId="35" fillId="0" borderId="0" xfId="280" applyFont="1" applyFill="1" applyAlignment="1">
      <alignment horizontal="center"/>
      <protection/>
    </xf>
    <xf numFmtId="9" fontId="35" fillId="0" borderId="0" xfId="280" applyNumberFormat="1" applyFont="1" applyFill="1" applyAlignment="1">
      <alignment horizontal="center"/>
      <protection/>
    </xf>
    <xf numFmtId="0" fontId="35" fillId="0" borderId="0" xfId="280" applyFont="1" applyFill="1" applyBorder="1">
      <alignment/>
      <protection/>
    </xf>
    <xf numFmtId="0" fontId="35" fillId="0" borderId="0" xfId="280" applyFont="1" applyAlignment="1">
      <alignment horizontal="center" wrapText="1"/>
      <protection/>
    </xf>
    <xf numFmtId="0" fontId="115" fillId="0" borderId="0" xfId="280" applyFont="1" applyAlignment="1">
      <alignment horizontal="right"/>
      <protection/>
    </xf>
    <xf numFmtId="0" fontId="58" fillId="0" borderId="0" xfId="0" applyFont="1" applyAlignment="1">
      <alignment horizontal="center" wrapText="1"/>
    </xf>
    <xf numFmtId="0" fontId="35" fillId="0" borderId="11" xfId="280" applyFont="1" applyBorder="1" applyAlignment="1">
      <alignment horizontal="center"/>
      <protection/>
    </xf>
    <xf numFmtId="41" fontId="113" fillId="6" borderId="0" xfId="280" applyNumberFormat="1" applyFont="1" applyFill="1" applyBorder="1" applyProtection="1">
      <alignment/>
      <protection locked="0"/>
    </xf>
    <xf numFmtId="173" fontId="0" fillId="0" borderId="30" xfId="114" applyNumberFormat="1" applyFont="1" applyFill="1" applyBorder="1" applyAlignment="1" applyProtection="1">
      <alignment/>
      <protection/>
    </xf>
    <xf numFmtId="173" fontId="0" fillId="0" borderId="20" xfId="114" applyNumberFormat="1" applyFont="1" applyFill="1" applyBorder="1" applyAlignment="1" applyProtection="1">
      <alignment/>
      <protection/>
    </xf>
    <xf numFmtId="0" fontId="0" fillId="0" borderId="0" xfId="0" applyFont="1" applyAlignment="1" applyProtection="1">
      <alignment vertical="top" wrapText="1"/>
      <protection/>
    </xf>
    <xf numFmtId="0" fontId="9" fillId="0" borderId="0" xfId="294" applyFont="1" applyFill="1" applyAlignment="1" applyProtection="1">
      <alignment horizontal="center"/>
      <protection/>
    </xf>
    <xf numFmtId="43" fontId="0" fillId="0" borderId="0" xfId="134" applyFont="1" applyFill="1" applyAlignment="1" applyProtection="1">
      <alignment/>
      <protection/>
    </xf>
    <xf numFmtId="173" fontId="8" fillId="6" borderId="0" xfId="134" applyNumberFormat="1" applyFont="1" applyFill="1" applyAlignment="1" applyProtection="1">
      <alignment/>
      <protection locked="0"/>
    </xf>
    <xf numFmtId="173" fontId="0" fillId="0" borderId="0" xfId="294" applyNumberFormat="1" applyFont="1" applyFill="1" applyProtection="1">
      <alignment/>
      <protection/>
    </xf>
    <xf numFmtId="0" fontId="66" fillId="0" borderId="11" xfId="289" applyFont="1" applyBorder="1" applyAlignment="1">
      <alignment horizontal="center"/>
      <protection/>
    </xf>
    <xf numFmtId="173" fontId="72" fillId="6" borderId="11" xfId="289" applyNumberFormat="1" applyFont="1" applyFill="1" applyBorder="1" applyProtection="1">
      <alignment/>
      <protection locked="0"/>
    </xf>
    <xf numFmtId="173" fontId="72" fillId="0" borderId="11" xfId="289" applyNumberFormat="1" applyFont="1" applyFill="1" applyBorder="1">
      <alignment/>
      <protection/>
    </xf>
    <xf numFmtId="0" fontId="66" fillId="0" borderId="11" xfId="289" applyFont="1" applyBorder="1">
      <alignment/>
      <protection/>
    </xf>
    <xf numFmtId="0" fontId="0" fillId="0" borderId="11" xfId="289" applyFont="1" applyBorder="1">
      <alignment/>
      <protection/>
    </xf>
    <xf numFmtId="0" fontId="17" fillId="0" borderId="11" xfId="289" applyFont="1" applyFill="1" applyBorder="1">
      <alignment/>
      <protection/>
    </xf>
    <xf numFmtId="173" fontId="82" fillId="0" borderId="11" xfId="289" applyNumberFormat="1" applyFont="1" applyFill="1" applyBorder="1">
      <alignment/>
      <protection/>
    </xf>
    <xf numFmtId="173" fontId="66" fillId="0" borderId="0" xfId="289" applyNumberFormat="1" applyFont="1" applyFill="1" applyBorder="1" applyProtection="1">
      <alignment/>
      <protection locked="0"/>
    </xf>
    <xf numFmtId="9" fontId="72" fillId="6" borderId="0" xfId="301" applyFont="1" applyFill="1" applyBorder="1" applyAlignment="1" applyProtection="1">
      <alignment/>
      <protection locked="0"/>
    </xf>
    <xf numFmtId="173" fontId="72" fillId="6" borderId="0" xfId="289" applyNumberFormat="1" applyFont="1" applyFill="1" applyBorder="1" applyAlignment="1" applyProtection="1">
      <alignment horizontal="center"/>
      <protection locked="0"/>
    </xf>
    <xf numFmtId="0" fontId="0" fillId="0" borderId="0" xfId="192">
      <alignment/>
      <protection/>
    </xf>
    <xf numFmtId="0" fontId="0" fillId="0" borderId="0" xfId="192" applyAlignment="1">
      <alignment horizontal="center"/>
      <protection/>
    </xf>
    <xf numFmtId="0" fontId="0" fillId="0" borderId="0" xfId="192" applyFont="1" applyFill="1" applyAlignment="1">
      <alignment horizontal="center"/>
      <protection/>
    </xf>
    <xf numFmtId="0" fontId="0" fillId="0" borderId="0" xfId="192" applyFont="1" applyAlignment="1">
      <alignment horizontal="center"/>
      <protection/>
    </xf>
    <xf numFmtId="0" fontId="0" fillId="0" borderId="0" xfId="192" applyFont="1" applyAlignment="1">
      <alignment/>
      <protection/>
    </xf>
    <xf numFmtId="0" fontId="0" fillId="0" borderId="0" xfId="192" applyFill="1" applyAlignment="1">
      <alignment/>
      <protection/>
    </xf>
    <xf numFmtId="0" fontId="0" fillId="0" borderId="0" xfId="192" applyProtection="1">
      <alignment/>
      <protection/>
    </xf>
    <xf numFmtId="41" fontId="8" fillId="6" borderId="0" xfId="281" applyNumberFormat="1" applyFont="1" applyFill="1" applyProtection="1">
      <alignment/>
      <protection locked="0"/>
    </xf>
    <xf numFmtId="0" fontId="0" fillId="0" borderId="0" xfId="192" applyFont="1" applyFill="1" applyAlignment="1">
      <alignment/>
      <protection/>
    </xf>
    <xf numFmtId="0" fontId="0" fillId="0" borderId="0" xfId="192" applyFill="1" applyAlignment="1">
      <alignment horizontal="center"/>
      <protection/>
    </xf>
    <xf numFmtId="0" fontId="9" fillId="0" borderId="0" xfId="192" applyFont="1" applyFill="1" applyAlignment="1">
      <alignment horizontal="left"/>
      <protection/>
    </xf>
    <xf numFmtId="3" fontId="0" fillId="0" borderId="0" xfId="192" applyNumberFormat="1" applyFont="1" applyFill="1" applyAlignment="1">
      <alignment/>
      <protection/>
    </xf>
    <xf numFmtId="3" fontId="0" fillId="0" borderId="0" xfId="192" applyNumberFormat="1" applyFill="1" applyAlignment="1">
      <alignment/>
      <protection/>
    </xf>
    <xf numFmtId="0" fontId="12" fillId="0" borderId="0" xfId="192" applyFont="1" applyFill="1" applyAlignment="1">
      <alignment horizontal="center"/>
      <protection/>
    </xf>
    <xf numFmtId="3" fontId="0" fillId="0" borderId="0" xfId="192" applyNumberFormat="1" applyFont="1" applyFill="1" applyAlignment="1">
      <alignment horizontal="centerContinuous"/>
      <protection/>
    </xf>
    <xf numFmtId="3" fontId="12" fillId="0" borderId="0" xfId="192" applyNumberFormat="1" applyFont="1" applyFill="1" applyAlignment="1">
      <alignment horizontal="centerContinuous"/>
      <protection/>
    </xf>
    <xf numFmtId="3" fontId="0" fillId="0" borderId="0" xfId="192" applyNumberFormat="1" applyFill="1" applyAlignment="1">
      <alignment horizontal="centerContinuous"/>
      <protection/>
    </xf>
    <xf numFmtId="3" fontId="0" fillId="0" borderId="38" xfId="192" applyNumberFormat="1" applyFont="1" applyFill="1" applyBorder="1" applyAlignment="1">
      <alignment/>
      <protection/>
    </xf>
    <xf numFmtId="3" fontId="0" fillId="0" borderId="0" xfId="192" applyNumberFormat="1" applyFont="1" applyFill="1" applyAlignment="1">
      <alignment horizontal="left"/>
      <protection/>
    </xf>
    <xf numFmtId="37" fontId="0" fillId="0" borderId="0" xfId="192" applyNumberFormat="1" applyFont="1" applyFill="1" applyAlignment="1">
      <alignment/>
      <protection/>
    </xf>
    <xf numFmtId="37" fontId="0" fillId="0" borderId="0" xfId="192" applyNumberFormat="1" applyFont="1" applyFill="1" applyAlignment="1">
      <alignment horizontal="center"/>
      <protection/>
    </xf>
    <xf numFmtId="37" fontId="0" fillId="0" borderId="38" xfId="192" applyNumberFormat="1" applyFont="1" applyFill="1" applyBorder="1" applyAlignment="1">
      <alignment/>
      <protection/>
    </xf>
    <xf numFmtId="37" fontId="0" fillId="0" borderId="39" xfId="192" applyNumberFormat="1" applyFont="1" applyFill="1" applyBorder="1" applyAlignment="1">
      <alignment/>
      <protection/>
    </xf>
    <xf numFmtId="37" fontId="0" fillId="27" borderId="0" xfId="192" applyNumberFormat="1" applyFont="1" applyFill="1" applyAlignment="1">
      <alignment/>
      <protection/>
    </xf>
    <xf numFmtId="37" fontId="0" fillId="0" borderId="0" xfId="192" applyNumberFormat="1" applyFill="1" applyAlignment="1">
      <alignment/>
      <protection/>
    </xf>
    <xf numFmtId="37" fontId="0" fillId="0" borderId="40" xfId="192" applyNumberFormat="1" applyFont="1" applyFill="1" applyBorder="1" applyAlignment="1">
      <alignment/>
      <protection/>
    </xf>
    <xf numFmtId="37" fontId="0" fillId="0" borderId="0" xfId="192" applyNumberFormat="1" applyFont="1" applyFill="1">
      <alignment/>
      <protection/>
    </xf>
    <xf numFmtId="3" fontId="0" fillId="0" borderId="0" xfId="192" applyNumberFormat="1" applyFont="1" applyFill="1" applyAlignment="1" applyProtection="1">
      <alignment horizontal="center"/>
      <protection locked="0"/>
    </xf>
    <xf numFmtId="3" fontId="0" fillId="0" borderId="0" xfId="192" applyNumberFormat="1" applyFont="1" applyFill="1" applyAlignment="1">
      <alignment horizontal="center"/>
      <protection/>
    </xf>
    <xf numFmtId="3" fontId="0" fillId="0" borderId="0" xfId="192" applyNumberFormat="1" applyFont="1" applyAlignment="1" applyProtection="1">
      <alignment/>
      <protection locked="0"/>
    </xf>
    <xf numFmtId="3" fontId="0" fillId="0" borderId="0" xfId="192" applyNumberFormat="1" applyFont="1" applyAlignment="1">
      <alignment/>
      <protection/>
    </xf>
    <xf numFmtId="0" fontId="12" fillId="0" borderId="0" xfId="192" applyFont="1" applyAlignment="1">
      <alignment horizontal="center"/>
      <protection/>
    </xf>
    <xf numFmtId="3" fontId="0" fillId="0" borderId="0" xfId="192" applyNumberFormat="1" applyFont="1" applyAlignment="1">
      <alignment horizontal="centerContinuous"/>
      <protection/>
    </xf>
    <xf numFmtId="3" fontId="12" fillId="0" borderId="0" xfId="192" applyNumberFormat="1" applyFont="1" applyAlignment="1">
      <alignment horizontal="centerContinuous"/>
      <protection/>
    </xf>
    <xf numFmtId="3" fontId="0" fillId="0" borderId="0" xfId="192" applyNumberFormat="1" applyAlignment="1">
      <alignment horizontal="centerContinuous"/>
      <protection/>
    </xf>
    <xf numFmtId="3" fontId="0" fillId="0" borderId="38" xfId="192" applyNumberFormat="1" applyFont="1" applyBorder="1" applyAlignment="1">
      <alignment/>
      <protection/>
    </xf>
    <xf numFmtId="0" fontId="0" fillId="0" borderId="0" xfId="192" applyFont="1" applyFill="1" applyAlignment="1">
      <alignment horizontal="left"/>
      <protection/>
    </xf>
    <xf numFmtId="37" fontId="0" fillId="0" borderId="14" xfId="192" applyNumberFormat="1" applyFont="1" applyFill="1" applyBorder="1" applyAlignment="1">
      <alignment/>
      <protection/>
    </xf>
    <xf numFmtId="37" fontId="0" fillId="0" borderId="0" xfId="192" applyNumberFormat="1">
      <alignment/>
      <protection/>
    </xf>
    <xf numFmtId="37" fontId="20" fillId="0" borderId="39" xfId="192" applyNumberFormat="1" applyFont="1" applyFill="1" applyBorder="1" applyAlignment="1">
      <alignment/>
      <protection/>
    </xf>
    <xf numFmtId="37" fontId="20" fillId="0" borderId="0" xfId="192" applyNumberFormat="1" applyFont="1" applyFill="1" applyAlignment="1">
      <alignment/>
      <protection/>
    </xf>
    <xf numFmtId="4" fontId="0" fillId="0" borderId="0" xfId="192" applyNumberFormat="1" applyFont="1" applyFill="1" applyAlignment="1">
      <alignment horizontal="center"/>
      <protection/>
    </xf>
    <xf numFmtId="211" fontId="8" fillId="6" borderId="0" xfId="281" applyNumberFormat="1" applyFont="1" applyFill="1" applyProtection="1">
      <alignment/>
      <protection locked="0"/>
    </xf>
    <xf numFmtId="0" fontId="7" fillId="0" borderId="0" xfId="192" applyFont="1" applyFill="1" applyAlignment="1">
      <alignment horizontal="left"/>
      <protection/>
    </xf>
    <xf numFmtId="3" fontId="0" fillId="11" borderId="0" xfId="192" applyNumberFormat="1" applyFont="1" applyFill="1" applyAlignment="1">
      <alignment/>
      <protection/>
    </xf>
    <xf numFmtId="0" fontId="0" fillId="11" borderId="0" xfId="192" applyFill="1">
      <alignment/>
      <protection/>
    </xf>
    <xf numFmtId="3" fontId="0" fillId="11" borderId="0" xfId="192" applyNumberFormat="1" applyFont="1" applyFill="1" applyAlignment="1" applyProtection="1">
      <alignment horizontal="center"/>
      <protection locked="0"/>
    </xf>
    <xf numFmtId="0" fontId="0" fillId="11" borderId="0" xfId="192" applyFont="1" applyFill="1" applyAlignment="1">
      <alignment horizontal="center"/>
      <protection/>
    </xf>
    <xf numFmtId="0" fontId="12" fillId="11" borderId="0" xfId="192" applyFont="1" applyFill="1" applyAlignment="1">
      <alignment horizontal="center"/>
      <protection/>
    </xf>
    <xf numFmtId="41" fontId="8" fillId="6" borderId="0" xfId="282" applyNumberFormat="1" applyFont="1" applyFill="1">
      <alignment/>
      <protection/>
    </xf>
    <xf numFmtId="3" fontId="9" fillId="0" borderId="0" xfId="192" applyNumberFormat="1" applyFont="1" applyFill="1" applyAlignment="1">
      <alignment horizontal="left"/>
      <protection/>
    </xf>
    <xf numFmtId="211" fontId="8" fillId="6" borderId="0" xfId="282" applyNumberFormat="1" applyFont="1" applyFill="1" applyProtection="1">
      <alignment/>
      <protection locked="0"/>
    </xf>
    <xf numFmtId="173" fontId="0" fillId="0" borderId="0" xfId="289" applyNumberFormat="1" applyFont="1">
      <alignment/>
      <protection/>
    </xf>
    <xf numFmtId="0" fontId="17" fillId="0" borderId="11" xfId="289" applyNumberFormat="1" applyFont="1" applyBorder="1" applyAlignment="1">
      <alignment horizontal="center"/>
      <protection/>
    </xf>
    <xf numFmtId="0" fontId="17" fillId="0" borderId="11" xfId="289" applyNumberFormat="1" applyFont="1" applyBorder="1">
      <alignment/>
      <protection/>
    </xf>
    <xf numFmtId="0" fontId="17" fillId="0" borderId="11" xfId="289" applyFont="1" applyBorder="1">
      <alignment/>
      <protection/>
    </xf>
    <xf numFmtId="173" fontId="66" fillId="0" borderId="11" xfId="289" applyNumberFormat="1" applyFont="1" applyFill="1" applyBorder="1">
      <alignment/>
      <protection/>
    </xf>
    <xf numFmtId="0" fontId="0" fillId="0" borderId="0" xfId="0" applyFont="1" applyFill="1" applyAlignment="1" applyProtection="1">
      <alignment vertical="top" wrapText="1"/>
      <protection/>
    </xf>
    <xf numFmtId="0" fontId="0" fillId="0" borderId="0" xfId="0" applyNumberFormat="1" applyFont="1" applyAlignment="1">
      <alignment horizontal="center"/>
    </xf>
    <xf numFmtId="0" fontId="0" fillId="0" borderId="0" xfId="0" applyFont="1" applyAlignment="1">
      <alignment/>
    </xf>
    <xf numFmtId="0" fontId="0" fillId="0" borderId="0" xfId="0" applyFont="1" applyAlignment="1">
      <alignment horizontal="right"/>
    </xf>
    <xf numFmtId="0" fontId="9" fillId="0" borderId="0" xfId="292" applyFont="1" applyAlignment="1">
      <alignment horizontal="centerContinuous"/>
      <protection/>
    </xf>
    <xf numFmtId="0" fontId="0" fillId="0" borderId="0" xfId="292" applyFont="1" applyFill="1" applyAlignment="1">
      <alignment horizontal="left"/>
      <protection/>
    </xf>
    <xf numFmtId="0" fontId="9" fillId="0" borderId="0" xfId="292" applyFont="1" applyAlignment="1">
      <alignment horizontal="center"/>
      <protection/>
    </xf>
    <xf numFmtId="0" fontId="9" fillId="0" borderId="0" xfId="292" applyFont="1" applyBorder="1" applyAlignment="1">
      <alignment wrapText="1"/>
      <protection/>
    </xf>
    <xf numFmtId="0" fontId="0" fillId="0" borderId="32" xfId="0" applyNumberFormat="1" applyFont="1" applyBorder="1" applyAlignment="1">
      <alignment horizontal="center" wrapText="1"/>
    </xf>
    <xf numFmtId="0" fontId="9" fillId="0" borderId="33" xfId="292" applyFont="1" applyBorder="1" applyAlignment="1">
      <alignment horizontal="center" wrapText="1"/>
      <protection/>
    </xf>
    <xf numFmtId="0" fontId="9" fillId="0" borderId="0" xfId="292" applyFont="1" applyBorder="1" applyAlignment="1">
      <alignment horizontal="center" wrapText="1"/>
      <protection/>
    </xf>
    <xf numFmtId="0" fontId="0" fillId="0" borderId="0" xfId="0" applyFont="1" applyBorder="1" applyAlignment="1">
      <alignment wrapText="1"/>
    </xf>
    <xf numFmtId="0" fontId="0" fillId="0" borderId="0" xfId="0" applyFont="1" applyAlignment="1">
      <alignment wrapText="1"/>
    </xf>
    <xf numFmtId="0" fontId="0" fillId="0" borderId="34" xfId="0" applyNumberFormat="1" applyFont="1" applyBorder="1" applyAlignment="1">
      <alignment horizontal="center"/>
    </xf>
    <xf numFmtId="0" fontId="9" fillId="0" borderId="35" xfId="292" applyFont="1" applyBorder="1" applyAlignment="1">
      <alignment horizontal="center"/>
      <protection/>
    </xf>
    <xf numFmtId="0" fontId="9" fillId="0" borderId="0" xfId="292" applyFont="1" applyBorder="1" applyAlignment="1">
      <alignment horizontal="center"/>
      <protection/>
    </xf>
    <xf numFmtId="0" fontId="9" fillId="0" borderId="35" xfId="279" applyFont="1" applyFill="1" applyBorder="1" applyAlignment="1">
      <alignment horizontal="center" wrapText="1"/>
    </xf>
    <xf numFmtId="0" fontId="117" fillId="0" borderId="0" xfId="0" applyFont="1" applyAlignment="1">
      <alignment/>
    </xf>
    <xf numFmtId="3" fontId="22" fillId="0" borderId="11" xfId="237" applyNumberFormat="1" applyFont="1" applyFill="1" applyBorder="1" applyAlignment="1">
      <alignment horizontal="center" wrapText="1"/>
      <protection/>
    </xf>
    <xf numFmtId="3" fontId="22" fillId="0" borderId="37" xfId="237" applyNumberFormat="1" applyFont="1" applyFill="1" applyBorder="1" applyAlignment="1">
      <alignment horizontal="center" wrapText="1"/>
      <protection/>
    </xf>
    <xf numFmtId="0" fontId="0" fillId="0" borderId="35" xfId="292" applyFont="1" applyBorder="1" applyAlignment="1" quotePrefix="1">
      <alignment horizontal="left"/>
      <protection/>
    </xf>
    <xf numFmtId="173" fontId="8" fillId="6" borderId="0" xfId="127" applyNumberFormat="1" applyFont="1" applyFill="1" applyAlignment="1" applyProtection="1">
      <alignment/>
      <protection locked="0"/>
    </xf>
    <xf numFmtId="173" fontId="8" fillId="6" borderId="33" xfId="127" applyNumberFormat="1" applyFont="1" applyFill="1" applyBorder="1" applyAlignment="1" applyProtection="1">
      <alignment/>
      <protection locked="0"/>
    </xf>
    <xf numFmtId="173" fontId="8" fillId="6" borderId="35" xfId="105" applyNumberFormat="1" applyFont="1" applyFill="1" applyBorder="1" applyAlignment="1" applyProtection="1">
      <alignment horizontal="right"/>
      <protection locked="0"/>
    </xf>
    <xf numFmtId="0" fontId="0" fillId="0" borderId="35" xfId="292" applyFont="1" applyBorder="1">
      <alignment/>
      <protection/>
    </xf>
    <xf numFmtId="0" fontId="0" fillId="0" borderId="36" xfId="0" applyNumberFormat="1" applyFont="1" applyBorder="1" applyAlignment="1">
      <alignment horizontal="center"/>
    </xf>
    <xf numFmtId="0" fontId="0" fillId="0" borderId="37" xfId="292" applyFont="1" applyBorder="1">
      <alignment/>
      <protection/>
    </xf>
    <xf numFmtId="0" fontId="0" fillId="0" borderId="37" xfId="292" applyFont="1" applyBorder="1" applyAlignment="1">
      <alignment horizontal="right"/>
      <protection/>
    </xf>
    <xf numFmtId="173" fontId="0" fillId="0" borderId="14" xfId="104" applyNumberFormat="1" applyFont="1" applyBorder="1" applyAlignment="1">
      <alignment/>
    </xf>
    <xf numFmtId="173" fontId="0" fillId="0" borderId="41" xfId="104" applyNumberFormat="1" applyFont="1" applyBorder="1" applyAlignment="1">
      <alignment/>
    </xf>
    <xf numFmtId="0" fontId="0" fillId="0" borderId="0" xfId="292" applyFont="1">
      <alignment/>
      <protection/>
    </xf>
    <xf numFmtId="37" fontId="0" fillId="0" borderId="0" xfId="292" applyNumberFormat="1" applyFont="1">
      <alignment/>
      <protection/>
    </xf>
    <xf numFmtId="172" fontId="0" fillId="0" borderId="0" xfId="285" applyFont="1" applyAlignment="1">
      <alignment/>
    </xf>
    <xf numFmtId="0" fontId="9" fillId="0" borderId="35" xfId="292" applyFont="1" applyBorder="1" applyAlignment="1">
      <alignment horizontal="center" wrapText="1"/>
      <protection/>
    </xf>
    <xf numFmtId="173" fontId="8" fillId="6" borderId="35" xfId="127" applyNumberFormat="1" applyFont="1" applyFill="1" applyBorder="1" applyAlignment="1" applyProtection="1">
      <alignment/>
      <protection locked="0"/>
    </xf>
    <xf numFmtId="0" fontId="0" fillId="0" borderId="16" xfId="0" applyNumberFormat="1" applyFont="1" applyBorder="1" applyAlignment="1">
      <alignment horizontal="center"/>
    </xf>
    <xf numFmtId="0" fontId="0" fillId="0" borderId="42" xfId="292" applyFont="1" applyBorder="1" applyAlignment="1">
      <alignment horizontal="right"/>
      <protection/>
    </xf>
    <xf numFmtId="0" fontId="0" fillId="0" borderId="32" xfId="0" applyNumberFormat="1" applyFont="1" applyBorder="1" applyAlignment="1">
      <alignment horizontal="center"/>
    </xf>
    <xf numFmtId="0" fontId="9" fillId="0" borderId="2" xfId="292" applyFont="1" applyBorder="1" applyAlignment="1">
      <alignment horizontal="centerContinuous" wrapText="1"/>
      <protection/>
    </xf>
    <xf numFmtId="0" fontId="0" fillId="0" borderId="32" xfId="0" applyFont="1" applyBorder="1" applyAlignment="1">
      <alignment/>
    </xf>
    <xf numFmtId="0" fontId="0" fillId="0" borderId="2" xfId="0" applyFont="1" applyBorder="1" applyAlignment="1">
      <alignment/>
    </xf>
    <xf numFmtId="0" fontId="0" fillId="0" borderId="34" xfId="0" applyNumberFormat="1" applyFont="1" applyBorder="1" applyAlignment="1">
      <alignment horizontal="center" wrapText="1"/>
    </xf>
    <xf numFmtId="0" fontId="9" fillId="0" borderId="34" xfId="292" applyFont="1" applyBorder="1" applyAlignment="1">
      <alignment horizontal="center" wrapText="1"/>
      <protection/>
    </xf>
    <xf numFmtId="0" fontId="9" fillId="0" borderId="34" xfId="292" applyFont="1" applyBorder="1" applyAlignment="1">
      <alignment horizontal="center"/>
      <protection/>
    </xf>
    <xf numFmtId="3" fontId="0" fillId="0" borderId="36" xfId="237" applyNumberFormat="1" applyFont="1" applyFill="1" applyBorder="1" applyAlignment="1">
      <alignment horizontal="center" wrapText="1"/>
      <protection/>
    </xf>
    <xf numFmtId="3" fontId="0" fillId="0" borderId="11" xfId="237" applyNumberFormat="1" applyFont="1" applyFill="1" applyBorder="1" applyAlignment="1">
      <alignment horizontal="center" wrapText="1"/>
      <protection/>
    </xf>
    <xf numFmtId="0" fontId="0" fillId="0" borderId="0" xfId="292" applyFont="1" applyBorder="1" applyAlignment="1" quotePrefix="1">
      <alignment horizontal="left"/>
      <protection/>
    </xf>
    <xf numFmtId="173" fontId="8" fillId="6" borderId="34" xfId="127" applyNumberFormat="1" applyFont="1" applyFill="1" applyBorder="1" applyAlignment="1" applyProtection="1">
      <alignment/>
      <protection locked="0"/>
    </xf>
    <xf numFmtId="0" fontId="0" fillId="0" borderId="0" xfId="292" applyFont="1" applyBorder="1">
      <alignment/>
      <protection/>
    </xf>
    <xf numFmtId="0" fontId="0" fillId="0" borderId="11" xfId="292" applyFont="1" applyBorder="1">
      <alignment/>
      <protection/>
    </xf>
    <xf numFmtId="173" fontId="8" fillId="6" borderId="36" xfId="127" applyNumberFormat="1" applyFont="1" applyFill="1" applyBorder="1" applyAlignment="1" applyProtection="1">
      <alignment/>
      <protection locked="0"/>
    </xf>
    <xf numFmtId="0" fontId="0" fillId="0" borderId="14" xfId="0" applyNumberFormat="1" applyFont="1" applyBorder="1" applyAlignment="1">
      <alignment horizontal="center"/>
    </xf>
    <xf numFmtId="0" fontId="0" fillId="0" borderId="14" xfId="292" applyFont="1" applyBorder="1" applyAlignment="1">
      <alignment horizontal="right"/>
      <protection/>
    </xf>
    <xf numFmtId="173" fontId="0" fillId="0" borderId="43" xfId="104" applyNumberFormat="1" applyFont="1" applyBorder="1" applyAlignment="1">
      <alignment/>
    </xf>
    <xf numFmtId="173" fontId="0" fillId="0" borderId="0" xfId="0" applyNumberFormat="1" applyFont="1" applyAlignment="1">
      <alignment/>
    </xf>
    <xf numFmtId="0" fontId="117" fillId="0" borderId="0" xfId="0" applyNumberFormat="1" applyFont="1" applyAlignment="1">
      <alignment horizontal="center"/>
    </xf>
    <xf numFmtId="0" fontId="16" fillId="0" borderId="0" xfId="237" applyFont="1" applyFill="1" applyBorder="1" applyAlignment="1">
      <alignment horizontal="left" vertical="center"/>
      <protection/>
    </xf>
    <xf numFmtId="0" fontId="0" fillId="0" borderId="0" xfId="237" applyNumberFormat="1" applyFont="1" applyFill="1" applyBorder="1" applyAlignment="1">
      <alignment horizontal="center"/>
      <protection/>
    </xf>
    <xf numFmtId="0" fontId="16" fillId="0" borderId="0" xfId="237" applyFont="1" applyBorder="1" applyAlignment="1">
      <alignment horizontal="center" vertical="center"/>
      <protection/>
    </xf>
    <xf numFmtId="0" fontId="16" fillId="0" borderId="0" xfId="280" applyFont="1" applyAlignment="1">
      <alignment horizontal="center" vertical="center" wrapText="1"/>
      <protection/>
    </xf>
    <xf numFmtId="0" fontId="16" fillId="0" borderId="0" xfId="237" applyFont="1" applyBorder="1" applyAlignment="1" quotePrefix="1">
      <alignment horizontal="center" vertical="center" wrapText="1"/>
      <protection/>
    </xf>
    <xf numFmtId="0" fontId="16" fillId="0" borderId="0" xfId="237" applyFont="1" applyFill="1" applyBorder="1" applyAlignment="1">
      <alignment horizontal="left"/>
      <protection/>
    </xf>
    <xf numFmtId="0" fontId="0" fillId="0" borderId="0" xfId="237" applyFont="1" applyFill="1" applyBorder="1" applyAlignment="1">
      <alignment horizontal="center"/>
      <protection/>
    </xf>
    <xf numFmtId="3" fontId="0" fillId="0" borderId="0" xfId="237" applyNumberFormat="1" applyFont="1" applyFill="1" applyBorder="1" applyAlignment="1">
      <alignment/>
      <protection/>
    </xf>
    <xf numFmtId="173" fontId="0" fillId="0" borderId="0" xfId="127" applyNumberFormat="1" applyFont="1" applyFill="1" applyAlignment="1">
      <alignment/>
    </xf>
    <xf numFmtId="0" fontId="9" fillId="0" borderId="0" xfId="237" applyFont="1" applyFill="1" applyBorder="1" applyAlignment="1">
      <alignment horizontal="left"/>
      <protection/>
    </xf>
    <xf numFmtId="0" fontId="0" fillId="0" borderId="0" xfId="237" applyFont="1" applyFill="1" applyBorder="1">
      <alignment/>
      <protection/>
    </xf>
    <xf numFmtId="3" fontId="0" fillId="0" borderId="0" xfId="237" applyNumberFormat="1" applyFont="1" applyFill="1" applyBorder="1" applyAlignment="1">
      <alignment horizontal="right"/>
      <protection/>
    </xf>
    <xf numFmtId="0" fontId="0" fillId="0" borderId="0" xfId="237" applyFont="1" applyBorder="1">
      <alignment/>
      <protection/>
    </xf>
    <xf numFmtId="0" fontId="0" fillId="6" borderId="0" xfId="237" applyFont="1" applyFill="1" applyBorder="1" applyProtection="1">
      <alignment/>
      <protection locked="0"/>
    </xf>
    <xf numFmtId="173" fontId="8" fillId="6" borderId="11" xfId="105" applyNumberFormat="1" applyFont="1" applyFill="1" applyBorder="1" applyAlignment="1" applyProtection="1">
      <alignment horizontal="right"/>
      <protection locked="0"/>
    </xf>
    <xf numFmtId="173" fontId="0" fillId="0" borderId="11" xfId="127" applyNumberFormat="1" applyFont="1" applyFill="1" applyBorder="1" applyAlignment="1">
      <alignment/>
    </xf>
    <xf numFmtId="173" fontId="0" fillId="0" borderId="0" xfId="237" applyNumberFormat="1" applyFont="1" applyFill="1" applyBorder="1">
      <alignment/>
      <protection/>
    </xf>
    <xf numFmtId="0" fontId="75" fillId="0" borderId="0" xfId="237" applyNumberFormat="1" applyFont="1" applyFill="1" applyBorder="1" applyAlignment="1">
      <alignment horizontal="center"/>
      <protection/>
    </xf>
    <xf numFmtId="0" fontId="0" fillId="0" borderId="0" xfId="280" applyFont="1" applyFill="1" applyAlignment="1">
      <alignment horizontal="left"/>
      <protection/>
    </xf>
    <xf numFmtId="0" fontId="89" fillId="0" borderId="0" xfId="280" applyFont="1" applyFill="1" applyBorder="1">
      <alignment/>
      <protection/>
    </xf>
    <xf numFmtId="0" fontId="16" fillId="0" borderId="0" xfId="280" applyFont="1" applyFill="1" applyAlignment="1">
      <alignment horizontal="center"/>
      <protection/>
    </xf>
    <xf numFmtId="0" fontId="0" fillId="0" borderId="0" xfId="0" applyFont="1" applyFill="1" applyAlignment="1">
      <alignment/>
    </xf>
    <xf numFmtId="0" fontId="0" fillId="0" borderId="0" xfId="0" applyFont="1" applyFill="1" applyAlignment="1">
      <alignment horizontal="center"/>
    </xf>
    <xf numFmtId="173" fontId="8" fillId="6" borderId="0" xfId="105" applyNumberFormat="1" applyFont="1" applyFill="1" applyBorder="1" applyAlignment="1" applyProtection="1">
      <alignment horizontal="left"/>
      <protection locked="0"/>
    </xf>
    <xf numFmtId="0" fontId="8" fillId="6" borderId="0" xfId="105" applyNumberFormat="1" applyFont="1" applyFill="1" applyBorder="1" applyAlignment="1" applyProtection="1">
      <alignment horizontal="center"/>
      <protection locked="0"/>
    </xf>
    <xf numFmtId="173" fontId="58" fillId="0" borderId="0" xfId="127" applyNumberFormat="1" applyFont="1" applyFill="1" applyAlignment="1" applyProtection="1">
      <alignment horizontal="left"/>
      <protection locked="0"/>
    </xf>
    <xf numFmtId="0" fontId="0" fillId="0" borderId="0" xfId="0" applyFont="1" applyFill="1" applyBorder="1" applyAlignment="1">
      <alignment horizontal="center"/>
    </xf>
    <xf numFmtId="173" fontId="58" fillId="0" borderId="11" xfId="127" applyNumberFormat="1" applyFont="1" applyFill="1" applyBorder="1" applyAlignment="1" applyProtection="1">
      <alignment horizontal="left"/>
      <protection locked="0"/>
    </xf>
    <xf numFmtId="0" fontId="0" fillId="0" borderId="0" xfId="0" applyFill="1" applyAlignment="1">
      <alignment horizontal="center"/>
    </xf>
    <xf numFmtId="0" fontId="0" fillId="0" borderId="0" xfId="0" applyFont="1" applyFill="1" applyAlignment="1">
      <alignment/>
    </xf>
    <xf numFmtId="0" fontId="0" fillId="0" borderId="0" xfId="237" applyFont="1" applyFill="1" applyBorder="1" applyAlignment="1">
      <alignment horizontal="left"/>
      <protection/>
    </xf>
    <xf numFmtId="43" fontId="3" fillId="0" borderId="6" xfId="288" applyNumberFormat="1" applyFont="1" applyFill="1" applyBorder="1" applyAlignment="1" applyProtection="1">
      <alignment/>
      <protection/>
    </xf>
    <xf numFmtId="0" fontId="0" fillId="0" borderId="33" xfId="0" applyFont="1" applyBorder="1" applyAlignment="1">
      <alignment/>
    </xf>
    <xf numFmtId="3" fontId="0" fillId="0" borderId="37" xfId="237" applyNumberFormat="1" applyFont="1" applyFill="1" applyBorder="1" applyAlignment="1">
      <alignment horizontal="center" wrapText="1"/>
      <protection/>
    </xf>
    <xf numFmtId="173" fontId="8" fillId="6" borderId="35" xfId="105" applyNumberFormat="1" applyFont="1" applyFill="1" applyBorder="1" applyAlignment="1">
      <alignment horizontal="right"/>
    </xf>
    <xf numFmtId="0" fontId="0" fillId="0" borderId="0" xfId="192" applyNumberFormat="1" applyFont="1" applyAlignment="1">
      <alignment horizontal="center"/>
      <protection/>
    </xf>
    <xf numFmtId="0" fontId="14" fillId="0" borderId="0" xfId="192" applyFont="1" applyAlignment="1">
      <alignment/>
      <protection/>
    </xf>
    <xf numFmtId="0" fontId="14" fillId="0" borderId="0" xfId="192" applyNumberFormat="1" applyFont="1" applyAlignment="1">
      <alignment horizontal="center"/>
      <protection/>
    </xf>
    <xf numFmtId="0" fontId="14" fillId="0" borderId="0" xfId="192" applyFont="1" applyAlignment="1">
      <alignment horizontal="right"/>
      <protection/>
    </xf>
    <xf numFmtId="0" fontId="84" fillId="0" borderId="0" xfId="292" applyFont="1" applyAlignment="1">
      <alignment horizontal="centerContinuous"/>
      <protection/>
    </xf>
    <xf numFmtId="0" fontId="14" fillId="0" borderId="0" xfId="292" applyFont="1" applyFill="1" applyAlignment="1">
      <alignment horizontal="left"/>
      <protection/>
    </xf>
    <xf numFmtId="0" fontId="84" fillId="0" borderId="0" xfId="292" applyFont="1" applyAlignment="1">
      <alignment horizontal="center"/>
      <protection/>
    </xf>
    <xf numFmtId="0" fontId="0" fillId="0" borderId="0" xfId="192" applyFont="1">
      <alignment/>
      <protection/>
    </xf>
    <xf numFmtId="0" fontId="0" fillId="0" borderId="32" xfId="192" applyNumberFormat="1" applyFont="1" applyBorder="1" applyAlignment="1">
      <alignment horizontal="center" wrapText="1"/>
      <protection/>
    </xf>
    <xf numFmtId="0" fontId="9" fillId="0" borderId="44" xfId="292" applyFont="1" applyBorder="1" applyAlignment="1">
      <alignment horizontal="center" wrapText="1"/>
      <protection/>
    </xf>
    <xf numFmtId="0" fontId="14" fillId="0" borderId="0" xfId="192" applyFont="1" applyAlignment="1">
      <alignment wrapText="1"/>
      <protection/>
    </xf>
    <xf numFmtId="0" fontId="0" fillId="0" borderId="34" xfId="192" applyNumberFormat="1" applyFont="1" applyBorder="1" applyAlignment="1">
      <alignment horizontal="center"/>
      <protection/>
    </xf>
    <xf numFmtId="0" fontId="9" fillId="0" borderId="10" xfId="292" applyFont="1" applyBorder="1" applyAlignment="1">
      <alignment horizontal="center"/>
      <protection/>
    </xf>
    <xf numFmtId="0" fontId="118" fillId="0" borderId="0" xfId="192" applyFont="1" applyAlignment="1">
      <alignment/>
      <protection/>
    </xf>
    <xf numFmtId="3" fontId="22" fillId="0" borderId="36" xfId="237" applyNumberFormat="1" applyFont="1" applyFill="1" applyBorder="1" applyAlignment="1">
      <alignment horizontal="center" wrapText="1"/>
      <protection/>
    </xf>
    <xf numFmtId="3" fontId="22" fillId="0" borderId="45" xfId="237" applyNumberFormat="1" applyFont="1" applyFill="1" applyBorder="1" applyAlignment="1">
      <alignment wrapText="1"/>
      <protection/>
    </xf>
    <xf numFmtId="173" fontId="8" fillId="6" borderId="0" xfId="126" applyNumberFormat="1" applyFont="1" applyFill="1" applyAlignment="1" applyProtection="1">
      <alignment/>
      <protection locked="0"/>
    </xf>
    <xf numFmtId="41" fontId="0" fillId="0" borderId="10" xfId="292" applyNumberFormat="1" applyFont="1" applyFill="1" applyBorder="1">
      <alignment/>
      <protection/>
    </xf>
    <xf numFmtId="0" fontId="0" fillId="0" borderId="36" xfId="192" applyNumberFormat="1" applyFont="1" applyBorder="1" applyAlignment="1">
      <alignment horizontal="center"/>
      <protection/>
    </xf>
    <xf numFmtId="173" fontId="0" fillId="0" borderId="46" xfId="104" applyNumberFormat="1" applyFont="1" applyBorder="1" applyAlignment="1">
      <alignment/>
    </xf>
    <xf numFmtId="3" fontId="22" fillId="0" borderId="45" xfId="237" applyNumberFormat="1" applyFont="1" applyFill="1" applyBorder="1" applyAlignment="1">
      <alignment horizontal="center" wrapText="1"/>
      <protection/>
    </xf>
    <xf numFmtId="173" fontId="8" fillId="6" borderId="0" xfId="104" applyNumberFormat="1" applyFont="1" applyFill="1" applyBorder="1" applyAlignment="1" applyProtection="1">
      <alignment/>
      <protection locked="0"/>
    </xf>
    <xf numFmtId="0" fontId="0" fillId="0" borderId="16" xfId="192" applyNumberFormat="1" applyFont="1" applyBorder="1" applyAlignment="1">
      <alignment horizontal="center"/>
      <protection/>
    </xf>
    <xf numFmtId="0" fontId="14" fillId="0" borderId="0" xfId="292" applyFont="1">
      <alignment/>
      <protection/>
    </xf>
    <xf numFmtId="37" fontId="14" fillId="0" borderId="0" xfId="292" applyNumberFormat="1" applyFont="1">
      <alignment/>
      <protection/>
    </xf>
    <xf numFmtId="172" fontId="14" fillId="0" borderId="0" xfId="285" applyFont="1" applyAlignment="1">
      <alignment/>
    </xf>
    <xf numFmtId="0" fontId="0" fillId="0" borderId="0" xfId="281" applyFont="1" applyFill="1" applyAlignment="1" applyProtection="1">
      <alignment vertical="top"/>
      <protection/>
    </xf>
    <xf numFmtId="0" fontId="0" fillId="0" borderId="0" xfId="192" applyFont="1" applyAlignment="1" applyProtection="1">
      <alignment vertical="top" wrapText="1"/>
      <protection/>
    </xf>
    <xf numFmtId="0" fontId="118" fillId="0" borderId="0" xfId="192" applyNumberFormat="1" applyFont="1" applyAlignment="1">
      <alignment horizontal="center"/>
      <protection/>
    </xf>
    <xf numFmtId="0" fontId="83" fillId="0" borderId="0" xfId="282" applyFont="1" applyFill="1" applyProtection="1">
      <alignment/>
      <protection/>
    </xf>
    <xf numFmtId="0" fontId="84" fillId="0" borderId="0" xfId="192" applyFont="1" applyAlignment="1">
      <alignment horizontal="center"/>
      <protection/>
    </xf>
    <xf numFmtId="0" fontId="84" fillId="0" borderId="0" xfId="192" applyFont="1" applyAlignment="1" quotePrefix="1">
      <alignment horizontal="center"/>
      <protection/>
    </xf>
    <xf numFmtId="0" fontId="9" fillId="0" borderId="0" xfId="282" applyFont="1" applyFill="1" applyAlignment="1" applyProtection="1">
      <alignment horizontal="left"/>
      <protection/>
    </xf>
    <xf numFmtId="173" fontId="0" fillId="0" borderId="0" xfId="104" applyNumberFormat="1" applyFont="1" applyFill="1" applyAlignment="1" applyProtection="1">
      <alignment/>
      <protection/>
    </xf>
    <xf numFmtId="0" fontId="0" fillId="0" borderId="0" xfId="282" applyFont="1" applyFill="1" applyProtection="1">
      <alignment/>
      <protection/>
    </xf>
    <xf numFmtId="0" fontId="0" fillId="0" borderId="0" xfId="211">
      <alignment/>
      <protection/>
    </xf>
    <xf numFmtId="0" fontId="0" fillId="0" borderId="0" xfId="282" applyFont="1" applyFill="1" applyAlignment="1" applyProtection="1">
      <alignment horizontal="left"/>
      <protection/>
    </xf>
    <xf numFmtId="173" fontId="8" fillId="6" borderId="0" xfId="104" applyNumberFormat="1" applyFont="1" applyFill="1" applyAlignment="1" applyProtection="1">
      <alignment/>
      <protection locked="0"/>
    </xf>
    <xf numFmtId="0" fontId="0" fillId="0" borderId="0" xfId="211" applyProtection="1">
      <alignment/>
      <protection/>
    </xf>
    <xf numFmtId="10" fontId="0" fillId="0" borderId="0" xfId="302" applyNumberFormat="1" applyFont="1" applyFill="1" applyBorder="1" applyAlignment="1" applyProtection="1">
      <alignment/>
      <protection/>
    </xf>
    <xf numFmtId="173" fontId="8" fillId="6" borderId="6" xfId="104" applyNumberFormat="1" applyFont="1" applyFill="1" applyBorder="1" applyAlignment="1" applyProtection="1">
      <alignment/>
      <protection locked="0"/>
    </xf>
    <xf numFmtId="10" fontId="9" fillId="0" borderId="0" xfId="302" applyNumberFormat="1" applyFont="1" applyFill="1" applyBorder="1" applyAlignment="1" applyProtection="1">
      <alignment/>
      <protection/>
    </xf>
    <xf numFmtId="0" fontId="9" fillId="0" borderId="0" xfId="282" applyFont="1" applyFill="1" applyProtection="1">
      <alignment/>
      <protection/>
    </xf>
    <xf numFmtId="173" fontId="9" fillId="0" borderId="0" xfId="302" applyNumberFormat="1" applyFont="1" applyFill="1" applyBorder="1" applyAlignment="1" applyProtection="1">
      <alignment/>
      <protection/>
    </xf>
    <xf numFmtId="173" fontId="0" fillId="0" borderId="0" xfId="302" applyNumberFormat="1" applyFont="1" applyFill="1" applyBorder="1" applyAlignment="1" applyProtection="1">
      <alignment/>
      <protection/>
    </xf>
    <xf numFmtId="10" fontId="9" fillId="0" borderId="18" xfId="302" applyNumberFormat="1" applyFont="1" applyFill="1" applyBorder="1" applyAlignment="1" applyProtection="1">
      <alignment/>
      <protection/>
    </xf>
    <xf numFmtId="0" fontId="92" fillId="0" borderId="0" xfId="211" applyFont="1" applyAlignment="1" applyProtection="1">
      <alignment horizontal="center"/>
      <protection/>
    </xf>
    <xf numFmtId="0" fontId="0" fillId="0" borderId="0" xfId="288" applyNumberFormat="1" applyFont="1" applyFill="1" applyBorder="1" applyAlignment="1" applyProtection="1">
      <alignment horizontal="center" vertical="center"/>
      <protection/>
    </xf>
    <xf numFmtId="0" fontId="119" fillId="0" borderId="0" xfId="211" applyFont="1" applyProtection="1">
      <alignment/>
      <protection/>
    </xf>
    <xf numFmtId="0" fontId="0" fillId="0" borderId="0" xfId="288" applyNumberFormat="1" applyFont="1" applyFill="1" applyBorder="1" applyAlignment="1" applyProtection="1">
      <alignment horizontal="center" vertical="top"/>
      <protection/>
    </xf>
    <xf numFmtId="0" fontId="58" fillId="0" borderId="0" xfId="211" applyFont="1" applyAlignment="1" applyProtection="1">
      <alignment vertical="top" wrapText="1"/>
      <protection/>
    </xf>
    <xf numFmtId="0" fontId="9" fillId="0" borderId="0" xfId="288" applyNumberFormat="1" applyFont="1" applyFill="1" applyBorder="1" applyAlignment="1" applyProtection="1">
      <alignment horizontal="center" vertical="center"/>
      <protection/>
    </xf>
    <xf numFmtId="0" fontId="20" fillId="0" borderId="0" xfId="211" applyFont="1" applyAlignment="1" applyProtection="1">
      <alignment/>
      <protection/>
    </xf>
    <xf numFmtId="41" fontId="9" fillId="0" borderId="0" xfId="282" applyNumberFormat="1" applyFont="1" applyFill="1" applyBorder="1" applyAlignment="1" applyProtection="1">
      <alignment horizontal="center" wrapText="1"/>
      <protection/>
    </xf>
    <xf numFmtId="0" fontId="9" fillId="0" borderId="0" xfId="282" applyFont="1" applyFill="1" applyAlignment="1" applyProtection="1">
      <alignment horizontal="center" wrapText="1"/>
      <protection/>
    </xf>
    <xf numFmtId="0" fontId="8" fillId="6" borderId="0" xfId="282" applyFont="1" applyFill="1" applyProtection="1">
      <alignment/>
      <protection locked="0"/>
    </xf>
    <xf numFmtId="173" fontId="120" fillId="6" borderId="0" xfId="104" applyNumberFormat="1" applyFont="1" applyFill="1" applyAlignment="1" applyProtection="1">
      <alignment/>
      <protection locked="0"/>
    </xf>
    <xf numFmtId="221" fontId="0" fillId="0" borderId="0" xfId="290" applyNumberFormat="1" applyFont="1" applyFill="1" applyAlignment="1" applyProtection="1">
      <alignment horizontal="center"/>
      <protection locked="0"/>
    </xf>
    <xf numFmtId="37" fontId="8" fillId="6" borderId="0" xfId="282" applyNumberFormat="1" applyFont="1" applyFill="1" applyProtection="1">
      <alignment/>
      <protection locked="0"/>
    </xf>
    <xf numFmtId="0" fontId="120" fillId="6" borderId="0" xfId="282" applyFont="1" applyFill="1" applyProtection="1">
      <alignment/>
      <protection locked="0"/>
    </xf>
    <xf numFmtId="222" fontId="0" fillId="0" borderId="0" xfId="290" applyNumberFormat="1" applyFill="1" applyAlignment="1" applyProtection="1">
      <alignment horizontal="center"/>
      <protection locked="0"/>
    </xf>
    <xf numFmtId="14" fontId="0" fillId="0" borderId="0" xfId="290" applyNumberFormat="1" applyFill="1" applyAlignment="1" applyProtection="1">
      <alignment horizontal="center"/>
      <protection locked="0"/>
    </xf>
    <xf numFmtId="0" fontId="0" fillId="0" borderId="0" xfId="211" applyFont="1" applyProtection="1">
      <alignment/>
      <protection/>
    </xf>
    <xf numFmtId="0" fontId="0" fillId="0" borderId="11" xfId="211" applyFont="1" applyBorder="1" applyProtection="1">
      <alignment/>
      <protection/>
    </xf>
    <xf numFmtId="0" fontId="14" fillId="0" borderId="11" xfId="282" applyFont="1" applyFill="1" applyBorder="1" applyProtection="1">
      <alignment/>
      <protection/>
    </xf>
    <xf numFmtId="0" fontId="0" fillId="0" borderId="0" xfId="211" applyFill="1">
      <alignment/>
      <protection/>
    </xf>
    <xf numFmtId="0" fontId="9" fillId="0" borderId="2" xfId="282" applyFont="1" applyFill="1" applyBorder="1" applyAlignment="1" applyProtection="1">
      <alignment horizontal="left"/>
      <protection/>
    </xf>
    <xf numFmtId="173" fontId="0" fillId="0" borderId="2" xfId="302" applyNumberFormat="1" applyFont="1" applyFill="1" applyBorder="1" applyAlignment="1" applyProtection="1">
      <alignment/>
      <protection/>
    </xf>
    <xf numFmtId="173" fontId="9" fillId="0" borderId="0" xfId="104" applyNumberFormat="1" applyFont="1" applyFill="1" applyBorder="1" applyAlignment="1" applyProtection="1">
      <alignment/>
      <protection/>
    </xf>
    <xf numFmtId="0" fontId="83" fillId="0" borderId="0" xfId="282" applyFont="1" applyFill="1" applyAlignment="1" applyProtection="1">
      <alignment horizontal="left"/>
      <protection/>
    </xf>
    <xf numFmtId="0" fontId="0" fillId="0" borderId="0" xfId="288" applyNumberFormat="1" applyFont="1" applyFill="1" applyBorder="1" applyAlignment="1" applyProtection="1">
      <alignment horizontal="center" wrapText="1"/>
      <protection/>
    </xf>
    <xf numFmtId="173" fontId="14" fillId="0" borderId="0" xfId="192" applyNumberFormat="1" applyFont="1" applyAlignment="1">
      <alignment/>
      <protection/>
    </xf>
    <xf numFmtId="0" fontId="0" fillId="0" borderId="0" xfId="282" applyFont="1" applyFill="1" applyBorder="1" applyProtection="1">
      <alignment/>
      <protection/>
    </xf>
    <xf numFmtId="0" fontId="14" fillId="0" borderId="2" xfId="192" applyNumberFormat="1" applyFont="1" applyBorder="1" applyAlignment="1">
      <alignment/>
      <protection/>
    </xf>
    <xf numFmtId="0" fontId="0" fillId="0" borderId="0" xfId="0" applyFont="1" applyFill="1" applyAlignment="1" applyProtection="1">
      <alignment horizontal="center"/>
      <protection/>
    </xf>
    <xf numFmtId="168" fontId="3" fillId="0" borderId="0" xfId="288" applyNumberFormat="1" applyFont="1" applyFill="1" applyAlignment="1" applyProtection="1">
      <alignment/>
      <protection/>
    </xf>
    <xf numFmtId="190" fontId="3" fillId="0" borderId="0" xfId="288" applyNumberFormat="1" applyFont="1" applyFill="1" applyAlignment="1" applyProtection="1">
      <alignment horizontal="center"/>
      <protection/>
    </xf>
    <xf numFmtId="41" fontId="3" fillId="0" borderId="11" xfId="288" applyNumberFormat="1" applyFont="1" applyFill="1" applyBorder="1" applyAlignment="1" applyProtection="1">
      <alignment/>
      <protection/>
    </xf>
    <xf numFmtId="0" fontId="3" fillId="0" borderId="0" xfId="192" applyFont="1" applyFill="1" applyAlignment="1" applyProtection="1">
      <alignment horizontal="center"/>
      <protection/>
    </xf>
    <xf numFmtId="0" fontId="58" fillId="0" borderId="0" xfId="192" applyFont="1" applyFill="1" applyProtection="1">
      <alignment/>
      <protection/>
    </xf>
    <xf numFmtId="0" fontId="3" fillId="0" borderId="0" xfId="192" applyFont="1" applyFill="1" applyProtection="1">
      <alignment/>
      <protection/>
    </xf>
    <xf numFmtId="0" fontId="0" fillId="0" borderId="0" xfId="192" applyFont="1" applyFill="1" applyProtection="1">
      <alignment/>
      <protection/>
    </xf>
    <xf numFmtId="179" fontId="3" fillId="0" borderId="0" xfId="288" applyNumberFormat="1" applyFont="1" applyFill="1" applyAlignment="1" applyProtection="1">
      <alignment horizontal="center"/>
      <protection/>
    </xf>
    <xf numFmtId="0" fontId="58" fillId="0" borderId="0" xfId="280" applyFont="1" applyFill="1" applyAlignment="1">
      <alignment horizontal="center"/>
      <protection/>
    </xf>
    <xf numFmtId="37" fontId="0" fillId="0" borderId="0" xfId="192" applyNumberFormat="1" applyFont="1">
      <alignment/>
      <protection/>
    </xf>
    <xf numFmtId="0" fontId="9" fillId="0" borderId="0" xfId="280" applyFont="1" applyFill="1" applyBorder="1">
      <alignment/>
      <protection/>
    </xf>
    <xf numFmtId="0" fontId="0" fillId="0" borderId="0" xfId="192" applyFont="1" applyFill="1">
      <alignment/>
      <protection/>
    </xf>
    <xf numFmtId="0" fontId="0" fillId="0" borderId="0" xfId="0" applyFont="1" applyFill="1" applyAlignment="1" applyProtection="1">
      <alignment horizontal="left"/>
      <protection/>
    </xf>
    <xf numFmtId="0" fontId="12" fillId="0" borderId="0" xfId="0" applyFont="1" applyFill="1" applyAlignment="1" applyProtection="1">
      <alignment horizontal="left"/>
      <protection/>
    </xf>
    <xf numFmtId="0" fontId="0" fillId="0" borderId="0" xfId="0" applyFont="1" applyFill="1" applyAlignment="1" applyProtection="1">
      <alignment horizontal="center"/>
      <protection/>
    </xf>
    <xf numFmtId="0" fontId="9" fillId="0" borderId="0" xfId="294" applyFont="1" applyFill="1" applyProtection="1">
      <alignment/>
      <protection/>
    </xf>
    <xf numFmtId="0" fontId="0" fillId="0" borderId="0" xfId="294" applyFont="1" applyFill="1" applyProtection="1">
      <alignment/>
      <protection/>
    </xf>
    <xf numFmtId="0" fontId="0" fillId="0" borderId="0" xfId="0" applyFont="1" applyFill="1" applyAlignment="1" applyProtection="1">
      <alignment vertical="top"/>
      <protection/>
    </xf>
    <xf numFmtId="41" fontId="18" fillId="0" borderId="0" xfId="280" applyNumberFormat="1" applyFont="1" applyFill="1" applyBorder="1" applyProtection="1">
      <alignment/>
      <protection locked="0"/>
    </xf>
    <xf numFmtId="0" fontId="4" fillId="0" borderId="0" xfId="280" applyFont="1" applyFill="1" applyBorder="1">
      <alignment/>
      <protection/>
    </xf>
    <xf numFmtId="0" fontId="17" fillId="0" borderId="0" xfId="289" applyNumberFormat="1" applyFont="1" applyFill="1" applyAlignment="1">
      <alignment horizontal="center"/>
      <protection/>
    </xf>
    <xf numFmtId="0" fontId="17" fillId="0" borderId="0" xfId="289" applyNumberFormat="1" applyFont="1" applyFill="1">
      <alignment/>
      <protection/>
    </xf>
    <xf numFmtId="0" fontId="68" fillId="0" borderId="0" xfId="289" applyFont="1" applyFill="1" applyAlignment="1">
      <alignment wrapText="1"/>
      <protection/>
    </xf>
    <xf numFmtId="0" fontId="4" fillId="0" borderId="0" xfId="281" applyFont="1" applyFill="1" applyAlignment="1">
      <alignment horizontal="center"/>
      <protection/>
    </xf>
    <xf numFmtId="0" fontId="4" fillId="0" borderId="0" xfId="281" applyFont="1" applyFill="1" applyBorder="1" applyAlignment="1">
      <alignment horizontal="center"/>
      <protection/>
    </xf>
    <xf numFmtId="0" fontId="4" fillId="0" borderId="0" xfId="281" applyFont="1" applyFill="1" applyBorder="1" applyAlignment="1" quotePrefix="1">
      <alignment horizontal="center"/>
      <protection/>
    </xf>
    <xf numFmtId="0" fontId="4" fillId="0" borderId="0" xfId="281" applyFont="1" applyFill="1" applyAlignment="1">
      <alignment horizontal="left" vertical="center" wrapText="1"/>
      <protection/>
    </xf>
    <xf numFmtId="0" fontId="4" fillId="0" borderId="0" xfId="281" applyFont="1" applyFill="1" applyAlignment="1">
      <alignment horizontal="center" vertical="center" wrapText="1"/>
      <protection/>
    </xf>
    <xf numFmtId="0" fontId="4" fillId="0" borderId="0" xfId="281" applyFont="1" applyFill="1" applyBorder="1" applyAlignment="1">
      <alignment horizontal="center" vertical="center" wrapText="1"/>
      <protection/>
    </xf>
    <xf numFmtId="0" fontId="4" fillId="0" borderId="0" xfId="281" applyFont="1" applyFill="1" applyBorder="1" applyAlignment="1" quotePrefix="1">
      <alignment horizontal="center" vertical="center" wrapText="1"/>
      <protection/>
    </xf>
    <xf numFmtId="0" fontId="0" fillId="0" borderId="0" xfId="289" applyNumberFormat="1" applyFont="1" applyFill="1" applyAlignment="1">
      <alignment horizontal="center"/>
      <protection/>
    </xf>
    <xf numFmtId="186" fontId="0" fillId="0" borderId="0" xfId="289" applyNumberFormat="1" applyFont="1" applyFill="1">
      <alignment/>
      <protection/>
    </xf>
    <xf numFmtId="0" fontId="0" fillId="0" borderId="0" xfId="283" applyFont="1" applyFill="1" applyAlignment="1" applyProtection="1">
      <alignment horizontal="left"/>
      <protection/>
    </xf>
    <xf numFmtId="0" fontId="0" fillId="0" borderId="0" xfId="211" applyFont="1" applyFill="1" applyProtection="1">
      <alignment/>
      <protection/>
    </xf>
    <xf numFmtId="173" fontId="8" fillId="28" borderId="0" xfId="127" applyNumberFormat="1" applyFont="1" applyFill="1" applyAlignment="1" applyProtection="1">
      <alignment/>
      <protection locked="0"/>
    </xf>
    <xf numFmtId="173" fontId="8" fillId="28" borderId="0" xfId="105" applyNumberFormat="1" applyFont="1" applyFill="1" applyBorder="1" applyAlignment="1" applyProtection="1">
      <alignment horizontal="right"/>
      <protection locked="0"/>
    </xf>
    <xf numFmtId="173" fontId="8" fillId="28" borderId="35" xfId="105" applyNumberFormat="1" applyFont="1" applyFill="1" applyBorder="1" applyAlignment="1" applyProtection="1">
      <alignment horizontal="right"/>
      <protection locked="0"/>
    </xf>
    <xf numFmtId="173" fontId="8" fillId="28" borderId="35" xfId="127" applyNumberFormat="1" applyFont="1" applyFill="1" applyBorder="1" applyAlignment="1" applyProtection="1">
      <alignment/>
      <protection locked="0"/>
    </xf>
    <xf numFmtId="173" fontId="8" fillId="28" borderId="34" xfId="127" applyNumberFormat="1" applyFont="1" applyFill="1" applyBorder="1" applyAlignment="1" applyProtection="1">
      <alignment/>
      <protection locked="0"/>
    </xf>
    <xf numFmtId="173" fontId="8" fillId="28" borderId="35" xfId="105" applyNumberFormat="1" applyFont="1" applyFill="1" applyBorder="1" applyAlignment="1">
      <alignment horizontal="right"/>
    </xf>
    <xf numFmtId="173" fontId="8" fillId="28" borderId="0" xfId="126" applyNumberFormat="1" applyFont="1" applyFill="1" applyAlignment="1" applyProtection="1">
      <alignment/>
      <protection locked="0"/>
    </xf>
    <xf numFmtId="41" fontId="0" fillId="28" borderId="10" xfId="292" applyNumberFormat="1" applyFont="1" applyFill="1" applyBorder="1">
      <alignment/>
      <protection/>
    </xf>
    <xf numFmtId="173" fontId="8" fillId="28" borderId="0" xfId="104" applyNumberFormat="1" applyFont="1" applyFill="1" applyBorder="1" applyAlignment="1" applyProtection="1">
      <alignment/>
      <protection locked="0"/>
    </xf>
    <xf numFmtId="0" fontId="121" fillId="0" borderId="0" xfId="237" applyFont="1" applyProtection="1">
      <alignment/>
      <protection/>
    </xf>
    <xf numFmtId="0" fontId="122" fillId="0" borderId="0" xfId="237" applyFont="1" applyBorder="1" applyAlignment="1" applyProtection="1">
      <alignment horizontal="center"/>
      <protection/>
    </xf>
    <xf numFmtId="3" fontId="123" fillId="0" borderId="0" xfId="237" applyNumberFormat="1" applyFont="1" applyAlignment="1" applyProtection="1">
      <alignment horizontal="center"/>
      <protection/>
    </xf>
    <xf numFmtId="0" fontId="121" fillId="0" borderId="0" xfId="0" applyFont="1" applyAlignment="1" applyProtection="1">
      <alignment/>
      <protection/>
    </xf>
    <xf numFmtId="0" fontId="124" fillId="0" borderId="0" xfId="237" applyFont="1" applyProtection="1">
      <alignment/>
      <protection/>
    </xf>
    <xf numFmtId="0" fontId="123" fillId="0" borderId="0" xfId="237" applyFont="1" applyAlignment="1" applyProtection="1">
      <alignment horizontal="center"/>
      <protection/>
    </xf>
    <xf numFmtId="0" fontId="122" fillId="0" borderId="0" xfId="236" applyFont="1" applyFill="1" applyProtection="1">
      <alignment/>
      <protection/>
    </xf>
    <xf numFmtId="0" fontId="123" fillId="0" borderId="0" xfId="237" applyFont="1" applyFill="1" applyBorder="1" applyAlignment="1" applyProtection="1">
      <alignment horizontal="center"/>
      <protection/>
    </xf>
    <xf numFmtId="0" fontId="122" fillId="0" borderId="0" xfId="237" applyFont="1" applyProtection="1">
      <alignment/>
      <protection/>
    </xf>
    <xf numFmtId="0" fontId="125" fillId="0" borderId="0" xfId="237" applyFont="1" applyBorder="1" applyAlignment="1" applyProtection="1">
      <alignment horizontal="left"/>
      <protection/>
    </xf>
    <xf numFmtId="0" fontId="122" fillId="0" borderId="0" xfId="237" applyFont="1" applyBorder="1" applyAlignment="1" applyProtection="1">
      <alignment/>
      <protection/>
    </xf>
    <xf numFmtId="0" fontId="122" fillId="0" borderId="0" xfId="237" applyFont="1" applyBorder="1" applyProtection="1">
      <alignment/>
      <protection/>
    </xf>
    <xf numFmtId="0" fontId="125" fillId="0" borderId="0" xfId="237" applyFont="1" applyFill="1" applyBorder="1" applyProtection="1">
      <alignment/>
      <protection/>
    </xf>
    <xf numFmtId="3" fontId="122" fillId="0" borderId="0" xfId="237" applyNumberFormat="1" applyFont="1" applyFill="1" applyBorder="1" applyAlignment="1" applyProtection="1">
      <alignment/>
      <protection/>
    </xf>
    <xf numFmtId="1" fontId="126" fillId="0" borderId="0" xfId="237" applyNumberFormat="1" applyFont="1" applyFill="1" applyBorder="1" applyAlignment="1" applyProtection="1">
      <alignment horizontal="center"/>
      <protection/>
    </xf>
    <xf numFmtId="172" fontId="122" fillId="0" borderId="0" xfId="287" applyFont="1" applyBorder="1" applyAlignment="1" applyProtection="1">
      <alignment/>
      <protection/>
    </xf>
    <xf numFmtId="170" fontId="126" fillId="6" borderId="0" xfId="287" applyNumberFormat="1" applyFont="1" applyFill="1" applyBorder="1" applyAlignment="1" applyProtection="1">
      <alignment horizontal="right"/>
      <protection locked="0"/>
    </xf>
    <xf numFmtId="6" fontId="121" fillId="0" borderId="0" xfId="237" applyNumberFormat="1" applyFont="1" applyProtection="1">
      <alignment/>
      <protection/>
    </xf>
    <xf numFmtId="170" fontId="122" fillId="0" borderId="0" xfId="287" applyNumberFormat="1" applyFont="1" applyFill="1" applyBorder="1" applyAlignment="1" applyProtection="1">
      <alignment horizontal="right"/>
      <protection/>
    </xf>
    <xf numFmtId="170" fontId="122" fillId="0" borderId="0" xfId="287" applyNumberFormat="1" applyFont="1" applyBorder="1" applyAlignment="1" applyProtection="1">
      <alignment horizontal="right"/>
      <protection/>
    </xf>
    <xf numFmtId="171" fontId="122" fillId="0" borderId="0" xfId="287" applyNumberFormat="1" applyFont="1" applyFill="1" applyBorder="1" applyAlignment="1" applyProtection="1">
      <alignment/>
      <protection/>
    </xf>
    <xf numFmtId="171" fontId="122" fillId="6" borderId="0" xfId="287" applyNumberFormat="1" applyFont="1" applyFill="1" applyBorder="1" applyAlignment="1" applyProtection="1">
      <alignment/>
      <protection locked="0"/>
    </xf>
    <xf numFmtId="0" fontId="127" fillId="0" borderId="0" xfId="237" applyFont="1" applyProtection="1">
      <alignment/>
      <protection/>
    </xf>
    <xf numFmtId="3" fontId="126" fillId="6" borderId="0" xfId="130" applyNumberFormat="1" applyFont="1" applyFill="1" applyBorder="1" applyAlignment="1" applyProtection="1">
      <alignment horizontal="right"/>
      <protection locked="0"/>
    </xf>
    <xf numFmtId="170" fontId="122" fillId="0" borderId="0" xfId="287" applyNumberFormat="1" applyFont="1" applyBorder="1" applyAlignment="1" applyProtection="1">
      <alignment/>
      <protection/>
    </xf>
    <xf numFmtId="0" fontId="122" fillId="0" borderId="0" xfId="0" applyFont="1" applyBorder="1" applyAlignment="1" applyProtection="1">
      <alignment/>
      <protection/>
    </xf>
    <xf numFmtId="170" fontId="126" fillId="6" borderId="0" xfId="0" applyNumberFormat="1" applyFont="1" applyFill="1" applyBorder="1" applyAlignment="1" applyProtection="1">
      <alignment horizontal="right"/>
      <protection locked="0"/>
    </xf>
    <xf numFmtId="172" fontId="122" fillId="0" borderId="0" xfId="287" applyFont="1" applyFill="1" applyBorder="1" applyAlignment="1" applyProtection="1">
      <alignment/>
      <protection/>
    </xf>
    <xf numFmtId="0" fontId="122" fillId="0" borderId="6" xfId="237" applyFont="1" applyBorder="1" applyAlignment="1" applyProtection="1">
      <alignment horizontal="center"/>
      <protection/>
    </xf>
    <xf numFmtId="0" fontId="122" fillId="0" borderId="6" xfId="0" applyFont="1" applyBorder="1" applyAlignment="1" applyProtection="1">
      <alignment/>
      <protection/>
    </xf>
    <xf numFmtId="172" fontId="122" fillId="0" borderId="6" xfId="287" applyFont="1" applyBorder="1" applyAlignment="1" applyProtection="1">
      <alignment/>
      <protection/>
    </xf>
    <xf numFmtId="170" fontId="126" fillId="6" borderId="6" xfId="0" applyNumberFormat="1" applyFont="1" applyFill="1" applyBorder="1" applyAlignment="1" applyProtection="1">
      <alignment horizontal="right"/>
      <protection locked="0"/>
    </xf>
    <xf numFmtId="170" fontId="122" fillId="0" borderId="0" xfId="0" applyNumberFormat="1" applyFont="1" applyBorder="1" applyAlignment="1" applyProtection="1">
      <alignment/>
      <protection/>
    </xf>
    <xf numFmtId="170" fontId="122" fillId="0" borderId="0" xfId="237" applyNumberFormat="1" applyFont="1" applyBorder="1" applyProtection="1">
      <alignment/>
      <protection/>
    </xf>
    <xf numFmtId="0" fontId="121" fillId="0" borderId="0" xfId="237" applyFont="1" applyBorder="1" applyProtection="1">
      <alignment/>
      <protection/>
    </xf>
    <xf numFmtId="0" fontId="3" fillId="0" borderId="0" xfId="288" applyNumberFormat="1" applyFont="1" applyFill="1" applyAlignment="1" applyProtection="1">
      <alignment horizontal="left" indent="2"/>
      <protection/>
    </xf>
    <xf numFmtId="0" fontId="0" fillId="0" borderId="30" xfId="0" applyNumberFormat="1" applyFont="1" applyFill="1" applyBorder="1" applyAlignment="1" applyProtection="1">
      <alignment horizontal="center"/>
      <protection/>
    </xf>
    <xf numFmtId="174" fontId="8" fillId="6" borderId="6" xfId="0" applyNumberFormat="1" applyFont="1" applyFill="1" applyBorder="1" applyAlignment="1" applyProtection="1">
      <alignment/>
      <protection locked="0"/>
    </xf>
    <xf numFmtId="3" fontId="18" fillId="6" borderId="0" xfId="192" applyNumberFormat="1" applyFont="1" applyFill="1" applyAlignment="1" applyProtection="1">
      <alignment/>
      <protection locked="0"/>
    </xf>
    <xf numFmtId="3" fontId="3" fillId="6" borderId="0" xfId="192" applyNumberFormat="1" applyFont="1" applyFill="1" applyAlignment="1" applyProtection="1">
      <alignment horizontal="center"/>
      <protection locked="0"/>
    </xf>
    <xf numFmtId="0" fontId="64" fillId="6" borderId="0" xfId="192" applyFont="1" applyFill="1" applyAlignment="1" applyProtection="1">
      <alignment horizontal="left" wrapText="1"/>
      <protection locked="0"/>
    </xf>
    <xf numFmtId="173" fontId="8" fillId="29" borderId="0" xfId="105" applyNumberFormat="1" applyFont="1" applyFill="1" applyBorder="1" applyAlignment="1" applyProtection="1">
      <alignment horizontal="right"/>
      <protection locked="0"/>
    </xf>
    <xf numFmtId="0" fontId="0" fillId="0" borderId="0" xfId="284" applyFont="1">
      <alignment/>
      <protection/>
    </xf>
    <xf numFmtId="37" fontId="8" fillId="29" borderId="0" xfId="0" applyNumberFormat="1" applyFont="1" applyFill="1" applyAlignment="1" applyProtection="1">
      <alignment/>
      <protection locked="0"/>
    </xf>
    <xf numFmtId="173" fontId="72" fillId="29" borderId="0" xfId="289" applyNumberFormat="1" applyFont="1" applyFill="1" applyBorder="1" applyProtection="1">
      <alignment/>
      <protection locked="0"/>
    </xf>
    <xf numFmtId="173" fontId="72" fillId="29" borderId="0" xfId="289" applyNumberFormat="1" applyFont="1" applyFill="1" applyBorder="1" applyProtection="1">
      <alignment/>
      <protection locked="0"/>
    </xf>
    <xf numFmtId="173" fontId="72" fillId="29" borderId="0" xfId="289" applyNumberFormat="1" applyFont="1" applyFill="1" applyBorder="1" applyProtection="1">
      <alignment/>
      <protection locked="0"/>
    </xf>
    <xf numFmtId="173" fontId="8" fillId="29" borderId="0" xfId="118" applyNumberFormat="1" applyFont="1" applyFill="1" applyAlignment="1" applyProtection="1">
      <alignment/>
      <protection locked="0"/>
    </xf>
    <xf numFmtId="0" fontId="0" fillId="30" borderId="30" xfId="0" applyNumberFormat="1" applyFont="1" applyFill="1" applyBorder="1" applyAlignment="1" applyProtection="1">
      <alignment horizontal="center"/>
      <protection/>
    </xf>
    <xf numFmtId="0" fontId="0" fillId="30" borderId="30" xfId="0" applyNumberFormat="1" applyFont="1" applyFill="1" applyBorder="1" applyAlignment="1" applyProtection="1">
      <alignment horizontal="center"/>
      <protection/>
    </xf>
    <xf numFmtId="173" fontId="3" fillId="0" borderId="0" xfId="100" applyNumberFormat="1" applyFont="1" applyFill="1" applyAlignment="1" applyProtection="1">
      <alignment horizontal="right"/>
      <protection/>
    </xf>
    <xf numFmtId="41" fontId="129" fillId="0" borderId="0" xfId="288" applyNumberFormat="1" applyFont="1" applyFill="1" applyAlignment="1" applyProtection="1">
      <alignment wrapText="1"/>
      <protection/>
    </xf>
    <xf numFmtId="41" fontId="18" fillId="29" borderId="6" xfId="288" applyNumberFormat="1" applyFont="1" applyFill="1" applyBorder="1" applyAlignment="1" applyProtection="1">
      <alignment/>
      <protection locked="0"/>
    </xf>
    <xf numFmtId="41" fontId="3" fillId="29" borderId="0" xfId="288" applyNumberFormat="1" applyFont="1" applyFill="1" applyAlignment="1" applyProtection="1">
      <alignment/>
      <protection locked="0"/>
    </xf>
    <xf numFmtId="41" fontId="18" fillId="29" borderId="6" xfId="288" applyNumberFormat="1" applyFont="1" applyFill="1" applyBorder="1" applyAlignment="1" applyProtection="1">
      <alignment/>
      <protection locked="0"/>
    </xf>
    <xf numFmtId="41" fontId="18" fillId="29" borderId="0" xfId="288" applyNumberFormat="1" applyFont="1" applyFill="1" applyAlignment="1" applyProtection="1">
      <alignment/>
      <protection locked="0"/>
    </xf>
    <xf numFmtId="41" fontId="18" fillId="29" borderId="0" xfId="288" applyNumberFormat="1" applyFont="1" applyFill="1" applyAlignment="1" applyProtection="1">
      <alignment vertical="center"/>
      <protection locked="0"/>
    </xf>
    <xf numFmtId="41" fontId="18" fillId="29" borderId="6" xfId="288" applyNumberFormat="1" applyFont="1" applyFill="1" applyBorder="1" applyAlignment="1" applyProtection="1">
      <alignment/>
      <protection locked="0"/>
    </xf>
    <xf numFmtId="41" fontId="18" fillId="29" borderId="0" xfId="288" applyNumberFormat="1" applyFont="1" applyFill="1" applyAlignment="1" applyProtection="1">
      <alignment vertical="center"/>
      <protection locked="0"/>
    </xf>
    <xf numFmtId="41" fontId="3" fillId="29" borderId="0" xfId="288" applyNumberFormat="1" applyFont="1" applyFill="1" applyAlignment="1" applyProtection="1">
      <alignment/>
      <protection locked="0"/>
    </xf>
    <xf numFmtId="3" fontId="18" fillId="29" borderId="0" xfId="288" applyNumberFormat="1" applyFont="1" applyFill="1" applyAlignment="1" applyProtection="1">
      <alignment/>
      <protection locked="0"/>
    </xf>
    <xf numFmtId="3" fontId="58" fillId="29" borderId="0" xfId="0" applyNumberFormat="1" applyFont="1" applyFill="1" applyAlignment="1" applyProtection="1">
      <alignment/>
      <protection locked="0"/>
    </xf>
    <xf numFmtId="3" fontId="58" fillId="29" borderId="0" xfId="0" applyNumberFormat="1" applyFont="1" applyFill="1" applyAlignment="1" applyProtection="1" quotePrefix="1">
      <alignment/>
      <protection locked="0"/>
    </xf>
    <xf numFmtId="3" fontId="113" fillId="29" borderId="0" xfId="0" applyNumberFormat="1" applyFont="1" applyFill="1" applyAlignment="1" applyProtection="1">
      <alignment/>
      <protection locked="0"/>
    </xf>
    <xf numFmtId="173" fontId="132" fillId="29" borderId="0" xfId="118" applyNumberFormat="1" applyFont="1" applyFill="1" applyAlignment="1">
      <alignment/>
    </xf>
    <xf numFmtId="3" fontId="8" fillId="29" borderId="0" xfId="0" applyNumberFormat="1" applyFont="1" applyFill="1" applyAlignment="1">
      <alignment/>
    </xf>
    <xf numFmtId="37" fontId="8" fillId="29" borderId="0" xfId="0" applyNumberFormat="1" applyFont="1" applyFill="1" applyAlignment="1">
      <alignment/>
    </xf>
    <xf numFmtId="3" fontId="0" fillId="0" borderId="0" xfId="0" applyNumberFormat="1" applyFont="1" applyFill="1" applyAlignment="1" quotePrefix="1">
      <alignment/>
    </xf>
    <xf numFmtId="0" fontId="0" fillId="0" borderId="0" xfId="295" applyFont="1" applyFill="1" applyProtection="1">
      <alignment/>
      <protection/>
    </xf>
    <xf numFmtId="173" fontId="8" fillId="29" borderId="0" xfId="135" applyNumberFormat="1" applyFont="1" applyFill="1" applyAlignment="1" applyProtection="1">
      <alignment/>
      <protection locked="0"/>
    </xf>
    <xf numFmtId="41" fontId="18" fillId="29" borderId="0" xfId="284" applyNumberFormat="1" applyFont="1" applyFill="1" applyBorder="1" applyProtection="1">
      <alignment/>
      <protection locked="0"/>
    </xf>
    <xf numFmtId="41" fontId="18" fillId="29" borderId="0" xfId="284" applyNumberFormat="1" applyFont="1" applyFill="1" applyBorder="1" applyProtection="1">
      <alignment/>
      <protection locked="0"/>
    </xf>
    <xf numFmtId="3" fontId="18" fillId="29" borderId="0" xfId="0" applyNumberFormat="1" applyFont="1" applyFill="1" applyAlignment="1" applyProtection="1">
      <alignment/>
      <protection locked="0"/>
    </xf>
    <xf numFmtId="3" fontId="3" fillId="29" borderId="0" xfId="0" applyNumberFormat="1" applyFont="1" applyFill="1" applyAlignment="1" applyProtection="1">
      <alignment horizontal="center"/>
      <protection locked="0"/>
    </xf>
    <xf numFmtId="41" fontId="18" fillId="29" borderId="0" xfId="284" applyNumberFormat="1" applyFont="1" applyFill="1" applyBorder="1" applyProtection="1">
      <alignment/>
      <protection locked="0"/>
    </xf>
    <xf numFmtId="3" fontId="18" fillId="29" borderId="0" xfId="0" applyNumberFormat="1" applyFont="1" applyFill="1" applyAlignment="1" applyProtection="1">
      <alignment/>
      <protection locked="0"/>
    </xf>
    <xf numFmtId="3" fontId="3" fillId="29" borderId="0" xfId="0" applyNumberFormat="1" applyFont="1" applyFill="1" applyAlignment="1" applyProtection="1">
      <alignment horizontal="center"/>
      <protection locked="0"/>
    </xf>
    <xf numFmtId="41" fontId="18" fillId="29" borderId="0" xfId="284" applyNumberFormat="1" applyFont="1" applyFill="1" applyBorder="1" applyProtection="1">
      <alignment/>
      <protection locked="0"/>
    </xf>
    <xf numFmtId="3" fontId="18" fillId="29" borderId="0" xfId="0" applyNumberFormat="1" applyFont="1" applyFill="1" applyAlignment="1" applyProtection="1">
      <alignment/>
      <protection locked="0"/>
    </xf>
    <xf numFmtId="3" fontId="3" fillId="29" borderId="0" xfId="0" applyNumberFormat="1" applyFont="1" applyFill="1" applyAlignment="1" applyProtection="1">
      <alignment horizontal="center"/>
      <protection locked="0"/>
    </xf>
    <xf numFmtId="173" fontId="72" fillId="29" borderId="0" xfId="289" applyNumberFormat="1" applyFont="1" applyFill="1" applyBorder="1" applyProtection="1">
      <alignment/>
      <protection locked="0"/>
    </xf>
    <xf numFmtId="173" fontId="72" fillId="29" borderId="0" xfId="289" applyNumberFormat="1" applyFont="1" applyFill="1" applyBorder="1" applyProtection="1">
      <alignment/>
      <protection locked="0"/>
    </xf>
    <xf numFmtId="173" fontId="72" fillId="29" borderId="0" xfId="289" applyNumberFormat="1" applyFont="1" applyFill="1" applyBorder="1" applyProtection="1">
      <alignment/>
      <protection locked="0"/>
    </xf>
    <xf numFmtId="173" fontId="72" fillId="29" borderId="0" xfId="289" applyNumberFormat="1" applyFont="1" applyFill="1" applyBorder="1" applyProtection="1">
      <alignment/>
      <protection locked="0"/>
    </xf>
    <xf numFmtId="173" fontId="133" fillId="29" borderId="20" xfId="118" applyNumberFormat="1" applyFont="1" applyFill="1" applyBorder="1" applyAlignment="1" applyProtection="1">
      <alignment horizontal="right"/>
      <protection locked="0"/>
    </xf>
    <xf numFmtId="0" fontId="133" fillId="29" borderId="20" xfId="0" applyFont="1" applyFill="1" applyBorder="1" applyAlignment="1" applyProtection="1">
      <alignment horizontal="right"/>
      <protection locked="0"/>
    </xf>
    <xf numFmtId="0" fontId="0" fillId="30" borderId="30" xfId="0" applyNumberFormat="1" applyFont="1" applyFill="1" applyBorder="1" applyAlignment="1" applyProtection="1">
      <alignment horizontal="center"/>
      <protection/>
    </xf>
    <xf numFmtId="173" fontId="133" fillId="29" borderId="20" xfId="118" applyNumberFormat="1" applyFont="1" applyFill="1" applyBorder="1" applyAlignment="1" applyProtection="1">
      <alignment horizontal="right"/>
      <protection locked="0"/>
    </xf>
    <xf numFmtId="0" fontId="133" fillId="29" borderId="20" xfId="0" applyFont="1" applyFill="1" applyBorder="1" applyAlignment="1" applyProtection="1">
      <alignment horizontal="right"/>
      <protection locked="0"/>
    </xf>
    <xf numFmtId="0" fontId="0" fillId="30" borderId="30" xfId="0" applyNumberFormat="1" applyFont="1" applyFill="1" applyBorder="1" applyAlignment="1" applyProtection="1">
      <alignment horizontal="center"/>
      <protection/>
    </xf>
    <xf numFmtId="173" fontId="133" fillId="29" borderId="20" xfId="118" applyNumberFormat="1" applyFont="1" applyFill="1" applyBorder="1" applyAlignment="1" applyProtection="1">
      <alignment horizontal="right"/>
      <protection locked="0"/>
    </xf>
    <xf numFmtId="0" fontId="133" fillId="29" borderId="20" xfId="0" applyFont="1" applyFill="1" applyBorder="1" applyAlignment="1" applyProtection="1">
      <alignment horizontal="right"/>
      <protection locked="0"/>
    </xf>
    <xf numFmtId="0" fontId="0" fillId="30" borderId="30" xfId="0" applyNumberFormat="1" applyFont="1" applyFill="1" applyBorder="1" applyAlignment="1" applyProtection="1">
      <alignment horizontal="center"/>
      <protection/>
    </xf>
    <xf numFmtId="173" fontId="133" fillId="29" borderId="20" xfId="118" applyNumberFormat="1" applyFont="1" applyFill="1" applyBorder="1" applyAlignment="1" applyProtection="1">
      <alignment horizontal="right"/>
      <protection locked="0"/>
    </xf>
    <xf numFmtId="0" fontId="133" fillId="29" borderId="20" xfId="0" applyFont="1" applyFill="1" applyBorder="1" applyAlignment="1" applyProtection="1">
      <alignment horizontal="right"/>
      <protection locked="0"/>
    </xf>
    <xf numFmtId="0" fontId="0" fillId="30" borderId="30" xfId="0" applyNumberFormat="1" applyFont="1" applyFill="1" applyBorder="1" applyAlignment="1" applyProtection="1">
      <alignment horizontal="center"/>
      <protection/>
    </xf>
    <xf numFmtId="173" fontId="133" fillId="29" borderId="20" xfId="118" applyNumberFormat="1" applyFont="1" applyFill="1" applyBorder="1" applyAlignment="1" applyProtection="1">
      <alignment horizontal="right"/>
      <protection locked="0"/>
    </xf>
    <xf numFmtId="0" fontId="133" fillId="29" borderId="20" xfId="0" applyFont="1" applyFill="1" applyBorder="1" applyAlignment="1" applyProtection="1">
      <alignment horizontal="right"/>
      <protection locked="0"/>
    </xf>
    <xf numFmtId="0" fontId="0" fillId="30" borderId="30" xfId="0" applyNumberFormat="1" applyFont="1" applyFill="1" applyBorder="1" applyAlignment="1" applyProtection="1">
      <alignment horizontal="center"/>
      <protection/>
    </xf>
    <xf numFmtId="173" fontId="133" fillId="29" borderId="20" xfId="118" applyNumberFormat="1" applyFont="1" applyFill="1" applyBorder="1" applyAlignment="1" applyProtection="1">
      <alignment horizontal="right"/>
      <protection locked="0"/>
    </xf>
    <xf numFmtId="0" fontId="133" fillId="29" borderId="20" xfId="0" applyFont="1" applyFill="1" applyBorder="1" applyAlignment="1" applyProtection="1">
      <alignment horizontal="right"/>
      <protection locked="0"/>
    </xf>
    <xf numFmtId="0" fontId="0" fillId="30" borderId="30" xfId="0" applyNumberFormat="1" applyFont="1" applyFill="1" applyBorder="1" applyAlignment="1" applyProtection="1">
      <alignment horizontal="center"/>
      <protection/>
    </xf>
    <xf numFmtId="173" fontId="133" fillId="29" borderId="20" xfId="118" applyNumberFormat="1" applyFont="1" applyFill="1" applyBorder="1" applyAlignment="1" applyProtection="1">
      <alignment horizontal="right"/>
      <protection locked="0"/>
    </xf>
    <xf numFmtId="0" fontId="133" fillId="29" borderId="20" xfId="0" applyFont="1" applyFill="1" applyBorder="1" applyAlignment="1" applyProtection="1">
      <alignment horizontal="right"/>
      <protection locked="0"/>
    </xf>
    <xf numFmtId="173" fontId="133" fillId="29" borderId="20" xfId="118" applyNumberFormat="1" applyFont="1" applyFill="1" applyBorder="1" applyAlignment="1" applyProtection="1">
      <alignment horizontal="right"/>
      <protection locked="0"/>
    </xf>
    <xf numFmtId="0" fontId="133" fillId="29" borderId="20" xfId="0" applyFont="1" applyFill="1" applyBorder="1" applyAlignment="1" applyProtection="1">
      <alignment horizontal="right"/>
      <protection locked="0"/>
    </xf>
    <xf numFmtId="0" fontId="0" fillId="30" borderId="30" xfId="0" applyNumberFormat="1" applyFont="1" applyFill="1" applyBorder="1" applyAlignment="1" applyProtection="1">
      <alignment horizontal="center"/>
      <protection/>
    </xf>
    <xf numFmtId="173" fontId="133" fillId="29" borderId="20" xfId="118" applyNumberFormat="1" applyFont="1" applyFill="1" applyBorder="1" applyAlignment="1" applyProtection="1">
      <alignment horizontal="right"/>
      <protection locked="0"/>
    </xf>
    <xf numFmtId="0" fontId="133" fillId="29" borderId="20" xfId="0" applyFont="1" applyFill="1" applyBorder="1" applyAlignment="1" applyProtection="1">
      <alignment horizontal="right"/>
      <protection locked="0"/>
    </xf>
    <xf numFmtId="173" fontId="133" fillId="29" borderId="20" xfId="118" applyNumberFormat="1" applyFont="1" applyFill="1" applyBorder="1" applyAlignment="1" applyProtection="1">
      <alignment horizontal="right"/>
      <protection locked="0"/>
    </xf>
    <xf numFmtId="0" fontId="133" fillId="29" borderId="20" xfId="0" applyFont="1" applyFill="1" applyBorder="1" applyAlignment="1" applyProtection="1">
      <alignment horizontal="right"/>
      <protection locked="0"/>
    </xf>
    <xf numFmtId="0" fontId="0" fillId="30" borderId="30" xfId="0" applyNumberFormat="1" applyFont="1" applyFill="1" applyBorder="1" applyAlignment="1" applyProtection="1">
      <alignment horizontal="center"/>
      <protection/>
    </xf>
    <xf numFmtId="173" fontId="133" fillId="29" borderId="20" xfId="118" applyNumberFormat="1" applyFont="1" applyFill="1" applyBorder="1" applyAlignment="1" applyProtection="1">
      <alignment horizontal="right"/>
      <protection locked="0"/>
    </xf>
    <xf numFmtId="0" fontId="133" fillId="29" borderId="20" xfId="0" applyFont="1" applyFill="1" applyBorder="1" applyAlignment="1" applyProtection="1">
      <alignment horizontal="right"/>
      <protection locked="0"/>
    </xf>
    <xf numFmtId="0" fontId="0" fillId="30" borderId="30" xfId="0" applyNumberFormat="1" applyFont="1" applyFill="1" applyBorder="1" applyAlignment="1" applyProtection="1">
      <alignment horizontal="center"/>
      <protection/>
    </xf>
    <xf numFmtId="0" fontId="66" fillId="0" borderId="0" xfId="289" applyNumberFormat="1" applyFont="1" applyFill="1" applyBorder="1">
      <alignment/>
      <protection/>
    </xf>
    <xf numFmtId="41" fontId="3" fillId="31" borderId="0" xfId="288" applyNumberFormat="1" applyFont="1" applyFill="1" applyAlignment="1" applyProtection="1">
      <alignment/>
      <protection locked="0"/>
    </xf>
    <xf numFmtId="0" fontId="3" fillId="31" borderId="0" xfId="288" applyNumberFormat="1" applyFont="1" applyFill="1" applyAlignment="1" applyProtection="1">
      <alignment vertical="top" wrapText="1"/>
      <protection/>
    </xf>
    <xf numFmtId="0" fontId="0" fillId="31" borderId="0" xfId="0" applyFont="1" applyFill="1" applyAlignment="1" applyProtection="1">
      <alignment/>
      <protection/>
    </xf>
    <xf numFmtId="41" fontId="18" fillId="31" borderId="0" xfId="280" applyNumberFormat="1" applyFont="1" applyFill="1" applyBorder="1">
      <alignment/>
      <protection/>
    </xf>
    <xf numFmtId="0" fontId="0" fillId="31" borderId="0" xfId="288" applyNumberFormat="1" applyFont="1" applyFill="1" applyBorder="1" applyAlignment="1" applyProtection="1">
      <alignment/>
      <protection/>
    </xf>
    <xf numFmtId="3" fontId="0" fillId="31" borderId="0" xfId="288" applyNumberFormat="1" applyFont="1" applyFill="1" applyBorder="1" applyAlignment="1" applyProtection="1">
      <alignment/>
      <protection/>
    </xf>
    <xf numFmtId="0" fontId="4" fillId="31" borderId="0" xfId="0" applyFont="1" applyFill="1" applyAlignment="1" applyProtection="1">
      <alignment horizontal="left"/>
      <protection/>
    </xf>
    <xf numFmtId="172" fontId="0" fillId="31" borderId="0" xfId="288" applyFont="1" applyFill="1" applyBorder="1" applyAlignment="1" applyProtection="1">
      <alignment/>
      <protection/>
    </xf>
    <xf numFmtId="3" fontId="99" fillId="7" borderId="0" xfId="288" applyNumberFormat="1" applyFont="1" applyFill="1" applyAlignment="1" applyProtection="1">
      <alignment horizontal="center"/>
      <protection/>
    </xf>
    <xf numFmtId="3" fontId="10" fillId="0" borderId="0" xfId="288" applyNumberFormat="1" applyFont="1" applyFill="1" applyAlignment="1" applyProtection="1">
      <alignment horizontal="center"/>
      <protection/>
    </xf>
    <xf numFmtId="0" fontId="3" fillId="0" borderId="0" xfId="0" applyFont="1" applyAlignment="1" applyProtection="1">
      <alignment wrapText="1"/>
      <protection/>
    </xf>
    <xf numFmtId="0" fontId="0" fillId="0" borderId="0" xfId="0" applyFont="1" applyAlignment="1" applyProtection="1">
      <alignment wrapText="1"/>
      <protection/>
    </xf>
    <xf numFmtId="172" fontId="3" fillId="0" borderId="0" xfId="288" applyFont="1" applyFill="1" applyAlignment="1" applyProtection="1">
      <alignment wrapText="1"/>
      <protection/>
    </xf>
    <xf numFmtId="172" fontId="3" fillId="0" borderId="0" xfId="288" applyFont="1" applyFill="1" applyAlignment="1" applyProtection="1">
      <alignment vertical="top" wrapText="1"/>
      <protection/>
    </xf>
    <xf numFmtId="172" fontId="3" fillId="0" borderId="0" xfId="288" applyFont="1" applyFill="1" applyAlignment="1" applyProtection="1">
      <alignment wrapText="1"/>
      <protection/>
    </xf>
    <xf numFmtId="0" fontId="0" fillId="0" borderId="0" xfId="0" applyFont="1" applyAlignment="1" applyProtection="1">
      <alignment wrapText="1"/>
      <protection/>
    </xf>
    <xf numFmtId="172" fontId="71" fillId="0" borderId="0" xfId="288" applyFont="1" applyAlignment="1" applyProtection="1">
      <alignment horizontal="left" wrapText="1"/>
      <protection/>
    </xf>
    <xf numFmtId="49" fontId="3" fillId="0" borderId="0" xfId="288" applyNumberFormat="1" applyFont="1" applyAlignment="1" applyProtection="1">
      <alignment horizontal="center"/>
      <protection/>
    </xf>
    <xf numFmtId="0" fontId="0" fillId="0" borderId="0" xfId="0" applyFont="1" applyAlignment="1" applyProtection="1">
      <alignment horizontal="center"/>
      <protection/>
    </xf>
    <xf numFmtId="0" fontId="10" fillId="0" borderId="0" xfId="288"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288" applyFont="1" applyBorder="1" applyAlignment="1" applyProtection="1">
      <alignment horizontal="center"/>
      <protection/>
    </xf>
    <xf numFmtId="172" fontId="3" fillId="0" borderId="0" xfId="288" applyFont="1" applyAlignment="1" applyProtection="1">
      <alignment horizontal="left" wrapText="1"/>
      <protection/>
    </xf>
    <xf numFmtId="0" fontId="3" fillId="0" borderId="0" xfId="288" applyNumberFormat="1" applyFont="1" applyFill="1" applyAlignment="1" applyProtection="1">
      <alignment vertical="top" wrapText="1"/>
      <protection/>
    </xf>
    <xf numFmtId="0" fontId="0" fillId="0" borderId="0" xfId="0" applyFont="1" applyFill="1" applyAlignment="1" applyProtection="1">
      <alignment/>
      <protection/>
    </xf>
    <xf numFmtId="0" fontId="3" fillId="0" borderId="0" xfId="288" applyNumberFormat="1" applyFont="1" applyFill="1" applyAlignment="1" applyProtection="1">
      <alignment horizontal="left" wrapText="1"/>
      <protection/>
    </xf>
    <xf numFmtId="172" fontId="3" fillId="0" borderId="0" xfId="288" applyFont="1" applyFill="1" applyAlignment="1" applyProtection="1">
      <alignment horizontal="justify" wrapText="1"/>
      <protection/>
    </xf>
    <xf numFmtId="0" fontId="0" fillId="0" borderId="0" xfId="0" applyFont="1" applyFill="1" applyAlignment="1" applyProtection="1">
      <alignment horizontal="justify" wrapText="1"/>
      <protection/>
    </xf>
    <xf numFmtId="172" fontId="3" fillId="0" borderId="0" xfId="288" applyFont="1" applyFill="1" applyAlignment="1" applyProtection="1">
      <alignment vertical="top" wrapText="1"/>
      <protection/>
    </xf>
    <xf numFmtId="0" fontId="3" fillId="0" borderId="0" xfId="0" applyFont="1" applyAlignment="1" applyProtection="1">
      <alignment vertical="top" wrapText="1"/>
      <protection/>
    </xf>
    <xf numFmtId="0" fontId="3" fillId="0" borderId="0" xfId="288" applyNumberFormat="1" applyFont="1" applyFill="1" applyAlignment="1" applyProtection="1">
      <alignment wrapText="1"/>
      <protection/>
    </xf>
    <xf numFmtId="0" fontId="3" fillId="31" borderId="0" xfId="288" applyNumberFormat="1" applyFont="1" applyFill="1" applyAlignment="1" applyProtection="1">
      <alignment horizontal="left" vertical="top" wrapText="1"/>
      <protection/>
    </xf>
    <xf numFmtId="0" fontId="3" fillId="0" borderId="0" xfId="0" applyFont="1" applyAlignment="1" applyProtection="1">
      <alignment horizontal="center"/>
      <protection/>
    </xf>
    <xf numFmtId="0" fontId="3" fillId="0" borderId="0" xfId="237" applyFont="1" applyBorder="1" applyAlignment="1">
      <alignment horizontal="center"/>
      <protection/>
    </xf>
    <xf numFmtId="0" fontId="9" fillId="0" borderId="47" xfId="292" applyFont="1" applyBorder="1" applyAlignment="1">
      <alignment horizontal="center" wrapText="1"/>
      <protection/>
    </xf>
    <xf numFmtId="0" fontId="9" fillId="0" borderId="13" xfId="292" applyFont="1" applyBorder="1" applyAlignment="1">
      <alignment horizontal="center" wrapText="1"/>
      <protection/>
    </xf>
    <xf numFmtId="0" fontId="9" fillId="0" borderId="48" xfId="292" applyFont="1" applyBorder="1" applyAlignment="1">
      <alignment horizontal="center" wrapText="1"/>
      <protection/>
    </xf>
    <xf numFmtId="0" fontId="9" fillId="0" borderId="47" xfId="0" applyFont="1" applyBorder="1" applyAlignment="1">
      <alignment horizontal="center"/>
    </xf>
    <xf numFmtId="0" fontId="9" fillId="0" borderId="13" xfId="0" applyFont="1" applyBorder="1" applyAlignment="1">
      <alignment horizontal="center"/>
    </xf>
    <xf numFmtId="3" fontId="3" fillId="0" borderId="0" xfId="237" applyNumberFormat="1" applyFont="1" applyBorder="1" applyAlignment="1">
      <alignment horizontal="center"/>
      <protection/>
    </xf>
    <xf numFmtId="0" fontId="3" fillId="0" borderId="0" xfId="0" applyFont="1" applyAlignment="1">
      <alignment horizontal="center"/>
    </xf>
    <xf numFmtId="0" fontId="35" fillId="0" borderId="0" xfId="280" applyFont="1" applyBorder="1" applyAlignment="1">
      <alignment horizontal="center" wrapText="1"/>
      <protection/>
    </xf>
    <xf numFmtId="0" fontId="58" fillId="0" borderId="11" xfId="0" applyFont="1" applyBorder="1" applyAlignment="1">
      <alignment horizontal="center" wrapText="1"/>
    </xf>
    <xf numFmtId="3" fontId="3" fillId="0" borderId="0" xfId="0" applyNumberFormat="1" applyFont="1" applyAlignment="1">
      <alignment horizontal="center"/>
    </xf>
    <xf numFmtId="0" fontId="35" fillId="0" borderId="0" xfId="237" applyFont="1" applyBorder="1" applyAlignment="1" quotePrefix="1">
      <alignment horizontal="center" wrapText="1"/>
      <protection/>
    </xf>
    <xf numFmtId="0" fontId="75" fillId="0" borderId="0" xfId="237" applyNumberFormat="1" applyFont="1" applyFill="1" applyBorder="1" applyAlignment="1" applyProtection="1">
      <alignment horizontal="center"/>
      <protection/>
    </xf>
    <xf numFmtId="0" fontId="16" fillId="0" borderId="0" xfId="280" applyFont="1" applyBorder="1" applyAlignment="1" applyProtection="1">
      <alignment horizontal="center" wrapText="1"/>
      <protection/>
    </xf>
    <xf numFmtId="0" fontId="12" fillId="0" borderId="0" xfId="0" applyFont="1" applyBorder="1" applyAlignment="1" applyProtection="1">
      <alignment horizontal="center" wrapText="1"/>
      <protection/>
    </xf>
    <xf numFmtId="0" fontId="16" fillId="0" borderId="0" xfId="237" applyFont="1" applyBorder="1" applyAlignment="1" applyProtection="1" quotePrefix="1">
      <alignment horizontal="center" wrapText="1"/>
      <protection/>
    </xf>
    <xf numFmtId="0" fontId="12" fillId="0" borderId="0" xfId="0" applyFont="1" applyAlignment="1" applyProtection="1">
      <alignment horizontal="center" wrapText="1"/>
      <protection/>
    </xf>
    <xf numFmtId="0" fontId="75" fillId="0" borderId="0" xfId="280" applyFont="1" applyFill="1" applyAlignment="1" applyProtection="1">
      <alignment horizontal="center"/>
      <protection/>
    </xf>
    <xf numFmtId="0" fontId="75" fillId="0" borderId="0" xfId="0" applyFont="1" applyFill="1" applyAlignment="1" applyProtection="1">
      <alignment horizontal="center"/>
      <protection/>
    </xf>
    <xf numFmtId="0" fontId="0" fillId="0" borderId="0" xfId="237" applyNumberFormat="1" applyFont="1" applyFill="1" applyBorder="1" applyAlignment="1">
      <alignment horizontal="left" wrapText="1"/>
      <protection/>
    </xf>
    <xf numFmtId="0" fontId="3" fillId="0" borderId="0" xfId="237" applyFont="1" applyBorder="1" applyAlignment="1" applyProtection="1">
      <alignment horizontal="center"/>
      <protection/>
    </xf>
    <xf numFmtId="3" fontId="3" fillId="0" borderId="0" xfId="0" applyNumberFormat="1" applyFont="1" applyAlignment="1" applyProtection="1">
      <alignment horizontal="center"/>
      <protection/>
    </xf>
    <xf numFmtId="172" fontId="3" fillId="0" borderId="0" xfId="288" applyFont="1" applyFill="1" applyAlignment="1" applyProtection="1">
      <alignment wrapText="1"/>
      <protection/>
    </xf>
    <xf numFmtId="0" fontId="0" fillId="0" borderId="0" xfId="0" applyFont="1" applyAlignment="1" applyProtection="1">
      <alignment wrapText="1"/>
      <protection/>
    </xf>
    <xf numFmtId="172" fontId="0" fillId="0" borderId="0" xfId="288" applyFont="1" applyFill="1" applyAlignment="1" applyProtection="1">
      <alignment horizontal="left" vertical="top" wrapText="1"/>
      <protection/>
    </xf>
    <xf numFmtId="0" fontId="9" fillId="0" borderId="0" xfId="293" applyFont="1" applyFill="1" applyAlignment="1" applyProtection="1">
      <alignment wrapText="1"/>
      <protection/>
    </xf>
    <xf numFmtId="3" fontId="2" fillId="0" borderId="0" xfId="0" applyNumberFormat="1" applyFont="1" applyAlignment="1" applyProtection="1">
      <alignment horizontal="center"/>
      <protection/>
    </xf>
    <xf numFmtId="0" fontId="10" fillId="0" borderId="0" xfId="293" applyFont="1" applyFill="1" applyAlignment="1" applyProtection="1">
      <alignment horizontal="center"/>
      <protection/>
    </xf>
    <xf numFmtId="3" fontId="2" fillId="0" borderId="0" xfId="0" applyNumberFormat="1" applyFont="1" applyAlignment="1">
      <alignment horizontal="center"/>
    </xf>
    <xf numFmtId="0" fontId="69" fillId="0" borderId="11" xfId="289" applyFont="1" applyBorder="1" applyAlignment="1" applyProtection="1">
      <alignment horizontal="center"/>
      <protection/>
    </xf>
    <xf numFmtId="3" fontId="3" fillId="0" borderId="0" xfId="237" applyNumberFormat="1" applyFont="1" applyBorder="1" applyAlignment="1" applyProtection="1">
      <alignment horizontal="center"/>
      <protection/>
    </xf>
    <xf numFmtId="0" fontId="66" fillId="0" borderId="0" xfId="289" applyFont="1" applyFill="1" applyAlignment="1">
      <alignment horizontal="left" wrapText="1"/>
      <protection/>
    </xf>
    <xf numFmtId="0" fontId="0" fillId="0" borderId="0" xfId="0" applyAlignment="1">
      <alignment/>
    </xf>
    <xf numFmtId="0" fontId="66" fillId="0" borderId="0" xfId="289" applyFont="1" applyFill="1" applyAlignment="1">
      <alignment wrapText="1"/>
      <protection/>
    </xf>
    <xf numFmtId="49" fontId="3" fillId="0" borderId="0" xfId="100" applyNumberFormat="1" applyFont="1" applyAlignment="1">
      <alignment horizontal="center"/>
    </xf>
    <xf numFmtId="0" fontId="0" fillId="0" borderId="0" xfId="0" applyAlignment="1">
      <alignment horizontal="center"/>
    </xf>
    <xf numFmtId="0" fontId="2" fillId="0" borderId="0" xfId="237" applyFont="1" applyBorder="1" applyAlignment="1">
      <alignment horizontal="center"/>
      <protection/>
    </xf>
    <xf numFmtId="0" fontId="2" fillId="0" borderId="0" xfId="0" applyFont="1" applyAlignment="1">
      <alignment horizontal="center"/>
    </xf>
    <xf numFmtId="0" fontId="64" fillId="6" borderId="0" xfId="0" applyFont="1" applyFill="1" applyAlignment="1" applyProtection="1">
      <alignment horizontal="left" vertical="top" wrapText="1"/>
      <protection locked="0"/>
    </xf>
    <xf numFmtId="0" fontId="0" fillId="0" borderId="0" xfId="0" applyNumberFormat="1" applyAlignment="1" applyProtection="1">
      <alignment horizontal="left" wrapText="1"/>
      <protection/>
    </xf>
    <xf numFmtId="173" fontId="87" fillId="0" borderId="0" xfId="100" applyNumberFormat="1" applyFont="1" applyBorder="1" applyAlignment="1" applyProtection="1">
      <alignment horizontal="center"/>
      <protection/>
    </xf>
    <xf numFmtId="0" fontId="2" fillId="0" borderId="0" xfId="0" applyFont="1" applyFill="1" applyAlignment="1" applyProtection="1">
      <alignment wrapText="1"/>
      <protection/>
    </xf>
    <xf numFmtId="0" fontId="0" fillId="0" borderId="0" xfId="0" applyAlignment="1" applyProtection="1">
      <alignment wrapText="1"/>
      <protection/>
    </xf>
    <xf numFmtId="0" fontId="0" fillId="0" borderId="0" xfId="0" applyAlignment="1" applyProtection="1">
      <alignment horizontal="left" vertical="center" wrapText="1"/>
      <protection/>
    </xf>
    <xf numFmtId="172" fontId="0" fillId="0" borderId="23" xfId="288" applyFont="1" applyBorder="1" applyAlignment="1" applyProtection="1">
      <alignment wrapText="1"/>
      <protection/>
    </xf>
    <xf numFmtId="0" fontId="0" fillId="0" borderId="17" xfId="0" applyFont="1" applyBorder="1" applyAlignment="1" applyProtection="1">
      <alignment wrapText="1"/>
      <protection/>
    </xf>
    <xf numFmtId="0" fontId="0" fillId="0" borderId="24" xfId="0" applyFont="1" applyBorder="1" applyAlignment="1" applyProtection="1">
      <alignment wrapText="1"/>
      <protection/>
    </xf>
    <xf numFmtId="0" fontId="0" fillId="0" borderId="19" xfId="0" applyFont="1" applyBorder="1" applyAlignment="1" applyProtection="1">
      <alignment wrapText="1"/>
      <protection/>
    </xf>
    <xf numFmtId="0" fontId="0" fillId="0" borderId="0" xfId="0" applyFont="1" applyBorder="1" applyAlignment="1" applyProtection="1">
      <alignment wrapText="1"/>
      <protection/>
    </xf>
    <xf numFmtId="0" fontId="0" fillId="0" borderId="20" xfId="0" applyFont="1" applyBorder="1" applyAlignment="1" applyProtection="1">
      <alignment wrapText="1"/>
      <protection/>
    </xf>
    <xf numFmtId="0" fontId="64" fillId="6" borderId="0" xfId="192" applyFont="1" applyFill="1" applyAlignment="1" applyProtection="1">
      <alignment horizontal="left" vertical="top" wrapText="1"/>
      <protection locked="0"/>
    </xf>
    <xf numFmtId="0" fontId="64" fillId="6" borderId="0" xfId="192" applyFont="1" applyFill="1" applyAlignment="1" applyProtection="1">
      <alignment horizontal="left" wrapText="1"/>
      <protection locked="0"/>
    </xf>
    <xf numFmtId="0" fontId="0" fillId="31" borderId="0" xfId="0" applyFont="1" applyFill="1" applyBorder="1" applyAlignment="1" applyProtection="1">
      <alignment wrapText="1"/>
      <protection/>
    </xf>
    <xf numFmtId="0" fontId="0" fillId="31" borderId="0" xfId="0" applyFill="1" applyAlignment="1" applyProtection="1">
      <alignment wrapText="1"/>
      <protection/>
    </xf>
    <xf numFmtId="0" fontId="0" fillId="0" borderId="0" xfId="0" applyFont="1" applyFill="1" applyBorder="1" applyAlignment="1" applyProtection="1">
      <alignment wrapText="1"/>
      <protection/>
    </xf>
    <xf numFmtId="0" fontId="64" fillId="6" borderId="0" xfId="192" applyFont="1" applyFill="1" applyAlignment="1" applyProtection="1">
      <alignment horizontal="left"/>
      <protection locked="0"/>
    </xf>
    <xf numFmtId="0" fontId="0" fillId="0" borderId="0" xfId="282" applyFont="1" applyFill="1" applyAlignment="1" applyProtection="1">
      <alignment horizontal="left" wrapText="1"/>
      <protection/>
    </xf>
    <xf numFmtId="0" fontId="0" fillId="0" borderId="0" xfId="211" applyFont="1" applyFill="1" applyAlignment="1" applyProtection="1">
      <alignment wrapText="1"/>
      <protection/>
    </xf>
    <xf numFmtId="0" fontId="102" fillId="0" borderId="0" xfId="282" applyFont="1" applyFill="1" applyAlignment="1" applyProtection="1">
      <alignment horizontal="left" wrapText="1"/>
      <protection/>
    </xf>
    <xf numFmtId="0" fontId="58" fillId="0" borderId="0" xfId="192" applyFont="1" applyAlignment="1" applyProtection="1">
      <alignment horizontal="left" vertical="top" wrapText="1"/>
      <protection/>
    </xf>
    <xf numFmtId="41" fontId="9" fillId="0" borderId="0" xfId="282" applyNumberFormat="1" applyFont="1" applyFill="1" applyBorder="1" applyAlignment="1" applyProtection="1">
      <alignment horizontal="center" wrapText="1"/>
      <protection/>
    </xf>
    <xf numFmtId="0" fontId="3" fillId="0" borderId="0" xfId="192" applyFont="1" applyAlignment="1" applyProtection="1">
      <alignment horizontal="center"/>
      <protection/>
    </xf>
    <xf numFmtId="0" fontId="9" fillId="0" borderId="47" xfId="192" applyFont="1" applyBorder="1" applyAlignment="1">
      <alignment horizontal="center"/>
      <protection/>
    </xf>
    <xf numFmtId="0" fontId="9" fillId="0" borderId="13" xfId="192" applyFont="1" applyBorder="1" applyAlignment="1">
      <alignment horizontal="center"/>
      <protection/>
    </xf>
    <xf numFmtId="0" fontId="9" fillId="0" borderId="48" xfId="192" applyFont="1" applyBorder="1" applyAlignment="1">
      <alignment horizontal="center"/>
      <protection/>
    </xf>
    <xf numFmtId="0" fontId="9" fillId="0" borderId="0" xfId="0" applyFont="1" applyAlignment="1">
      <alignment horizontal="left" wrapText="1"/>
    </xf>
    <xf numFmtId="0" fontId="9" fillId="0" borderId="0" xfId="0" applyFont="1" applyAlignment="1">
      <alignment horizontal="center" wrapText="1"/>
    </xf>
    <xf numFmtId="0" fontId="9" fillId="0" borderId="0" xfId="0" applyFont="1" applyAlignment="1">
      <alignment horizontal="center" wrapText="1"/>
    </xf>
    <xf numFmtId="0" fontId="8" fillId="6" borderId="0" xfId="0" applyFont="1" applyFill="1" applyAlignment="1" applyProtection="1">
      <alignment wrapText="1"/>
      <protection locked="0"/>
    </xf>
    <xf numFmtId="0" fontId="0" fillId="0" borderId="0" xfId="0" applyAlignment="1">
      <alignment wrapText="1"/>
    </xf>
    <xf numFmtId="0" fontId="122" fillId="0" borderId="0" xfId="237" applyFont="1" applyBorder="1" applyAlignment="1" applyProtection="1">
      <alignment horizontal="center"/>
      <protection/>
    </xf>
    <xf numFmtId="3" fontId="122" fillId="0" borderId="0" xfId="237" applyNumberFormat="1" applyFont="1" applyAlignment="1" applyProtection="1">
      <alignment horizontal="center"/>
      <protection/>
    </xf>
    <xf numFmtId="0" fontId="122" fillId="0" borderId="0" xfId="0" applyFont="1" applyAlignment="1" applyProtection="1">
      <alignment horizontal="left" vertical="center" wrapText="1"/>
      <protection/>
    </xf>
    <xf numFmtId="0" fontId="4" fillId="0" borderId="0" xfId="291" applyFont="1" applyAlignment="1" applyProtection="1">
      <alignment horizontal="left" wrapText="1"/>
      <protection/>
    </xf>
    <xf numFmtId="0" fontId="3" fillId="0" borderId="0" xfId="291" applyFont="1" applyAlignment="1" applyProtection="1">
      <alignment horizontal="left" wrapText="1"/>
      <protection/>
    </xf>
    <xf numFmtId="0" fontId="94" fillId="0" borderId="0" xfId="291" applyFont="1" applyAlignment="1" applyProtection="1">
      <alignment horizontal="center"/>
      <protection/>
    </xf>
    <xf numFmtId="0" fontId="94" fillId="0" borderId="0" xfId="291" applyFont="1" applyFill="1" applyAlignment="1" applyProtection="1">
      <alignment horizontal="center"/>
      <protection/>
    </xf>
    <xf numFmtId="3" fontId="94" fillId="0" borderId="0" xfId="291" applyNumberFormat="1" applyFont="1" applyAlignment="1" applyProtection="1">
      <alignment horizontal="center"/>
      <protection/>
    </xf>
    <xf numFmtId="0" fontId="71" fillId="0" borderId="11" xfId="291" applyFont="1" applyFill="1" applyBorder="1" applyAlignment="1" applyProtection="1">
      <alignment wrapText="1"/>
      <protection/>
    </xf>
    <xf numFmtId="0" fontId="0" fillId="0" borderId="11" xfId="0" applyFill="1" applyBorder="1" applyAlignment="1" applyProtection="1">
      <alignment wrapText="1"/>
      <protection/>
    </xf>
    <xf numFmtId="0" fontId="9" fillId="0" borderId="0" xfId="296" applyFont="1" applyAlignment="1" applyProtection="1">
      <alignment horizontal="center"/>
      <protection/>
    </xf>
    <xf numFmtId="0" fontId="0" fillId="0" borderId="0" xfId="280" applyFont="1" applyFill="1" applyAlignment="1" applyProtection="1">
      <alignment horizontal="left" vertical="top" wrapText="1"/>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110" fillId="0" borderId="0" xfId="0" applyFont="1" applyFill="1" applyAlignment="1" applyProtection="1">
      <alignment horizontal="left" wrapText="1"/>
      <protection/>
    </xf>
  </cellXfs>
  <cellStyles count="35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00A" xfId="65"/>
    <cellStyle name="C00B" xfId="66"/>
    <cellStyle name="C00L" xfId="67"/>
    <cellStyle name="C01A" xfId="68"/>
    <cellStyle name="C01B" xfId="69"/>
    <cellStyle name="C01H" xfId="70"/>
    <cellStyle name="C01L" xfId="71"/>
    <cellStyle name="C02A" xfId="72"/>
    <cellStyle name="C02B" xfId="73"/>
    <cellStyle name="C02H" xfId="74"/>
    <cellStyle name="C02L" xfId="75"/>
    <cellStyle name="C03A" xfId="76"/>
    <cellStyle name="C03B" xfId="77"/>
    <cellStyle name="C03H" xfId="78"/>
    <cellStyle name="C03L" xfId="79"/>
    <cellStyle name="C04A" xfId="80"/>
    <cellStyle name="C04B" xfId="81"/>
    <cellStyle name="C04H" xfId="82"/>
    <cellStyle name="C04L" xfId="83"/>
    <cellStyle name="C05A" xfId="84"/>
    <cellStyle name="C05B" xfId="85"/>
    <cellStyle name="C05H" xfId="86"/>
    <cellStyle name="C05L" xfId="87"/>
    <cellStyle name="C06A" xfId="88"/>
    <cellStyle name="C06B" xfId="89"/>
    <cellStyle name="C06H" xfId="90"/>
    <cellStyle name="C06L" xfId="91"/>
    <cellStyle name="C07A" xfId="92"/>
    <cellStyle name="C07B" xfId="93"/>
    <cellStyle name="C07H" xfId="94"/>
    <cellStyle name="C07L" xfId="95"/>
    <cellStyle name="Calculation" xfId="96"/>
    <cellStyle name="Calculation 2" xfId="97"/>
    <cellStyle name="Check Cell" xfId="98"/>
    <cellStyle name="Check Cell 2" xfId="99"/>
    <cellStyle name="Comma" xfId="100"/>
    <cellStyle name="Comma [0]" xfId="101"/>
    <cellStyle name="Comma 12 2" xfId="102"/>
    <cellStyle name="Comma 12 2 2" xfId="103"/>
    <cellStyle name="Comma 2" xfId="104"/>
    <cellStyle name="Comma 2 2" xfId="105"/>
    <cellStyle name="Comma 3" xfId="106"/>
    <cellStyle name="Comma 3 2" xfId="107"/>
    <cellStyle name="Comma 3 3" xfId="108"/>
    <cellStyle name="Comma 3 3 2" xfId="109"/>
    <cellStyle name="Comma 3 3 3" xfId="110"/>
    <cellStyle name="Comma 3 4" xfId="111"/>
    <cellStyle name="Comma 3 4 2" xfId="112"/>
    <cellStyle name="Comma 3 4 3" xfId="113"/>
    <cellStyle name="Comma 3 5" xfId="114"/>
    <cellStyle name="Comma 3 5 2" xfId="115"/>
    <cellStyle name="Comma 3 6" xfId="116"/>
    <cellStyle name="Comma 3 7" xfId="117"/>
    <cellStyle name="Comma 3 8" xfId="118"/>
    <cellStyle name="Comma 4" xfId="119"/>
    <cellStyle name="Comma 4 2" xfId="120"/>
    <cellStyle name="Comma 4 2 2" xfId="121"/>
    <cellStyle name="Comma 4 3" xfId="122"/>
    <cellStyle name="Comma 5" xfId="123"/>
    <cellStyle name="Comma 5 2" xfId="124"/>
    <cellStyle name="Comma 6" xfId="125"/>
    <cellStyle name="Comma 6 2" xfId="126"/>
    <cellStyle name="Comma 6 2 2" xfId="127"/>
    <cellStyle name="Comma 6 3" xfId="128"/>
    <cellStyle name="Comma 6 4" xfId="129"/>
    <cellStyle name="Comma 7" xfId="130"/>
    <cellStyle name="Comma 7 2" xfId="131"/>
    <cellStyle name="Comma 8" xfId="132"/>
    <cellStyle name="Comma_spp calc - revsd rev crd" xfId="133"/>
    <cellStyle name="Comma_spp calc - revsd rev crd 2" xfId="134"/>
    <cellStyle name="Comma_spp calc - revsd rev crd 3" xfId="135"/>
    <cellStyle name="Comma0" xfId="136"/>
    <cellStyle name="Currency" xfId="137"/>
    <cellStyle name="Currency [0]" xfId="138"/>
    <cellStyle name="Currency 2" xfId="139"/>
    <cellStyle name="Currency 2 2" xfId="140"/>
    <cellStyle name="Currency 3" xfId="141"/>
    <cellStyle name="Currency 3 2" xfId="142"/>
    <cellStyle name="Currency 3 3" xfId="143"/>
    <cellStyle name="Currency 3 3 2" xfId="144"/>
    <cellStyle name="Currency 3 3 3" xfId="145"/>
    <cellStyle name="Currency 3 4" xfId="146"/>
    <cellStyle name="Currency 3 4 2" xfId="147"/>
    <cellStyle name="Currency 3 4 3" xfId="148"/>
    <cellStyle name="Currency 3 5" xfId="149"/>
    <cellStyle name="Currency 3 5 2" xfId="150"/>
    <cellStyle name="Currency 3 6" xfId="151"/>
    <cellStyle name="Currency 3 7" xfId="152"/>
    <cellStyle name="Currency 4" xfId="153"/>
    <cellStyle name="Currency 4 2" xfId="154"/>
    <cellStyle name="Currency 4 2 2" xfId="155"/>
    <cellStyle name="Currency 4 3" xfId="156"/>
    <cellStyle name="Currency 5" xfId="157"/>
    <cellStyle name="Currency 5 2" xfId="158"/>
    <cellStyle name="Currency 6" xfId="159"/>
    <cellStyle name="Currency 6 2" xfId="160"/>
    <cellStyle name="Currency 7" xfId="161"/>
    <cellStyle name="Currency0" xfId="162"/>
    <cellStyle name="Date" xfId="163"/>
    <cellStyle name="Explanatory Text" xfId="164"/>
    <cellStyle name="Explanatory Text 2" xfId="165"/>
    <cellStyle name="Fixed" xfId="166"/>
    <cellStyle name="Followed Hyperlink" xfId="167"/>
    <cellStyle name="Good" xfId="168"/>
    <cellStyle name="Good 2" xfId="169"/>
    <cellStyle name="Heading 1" xfId="170"/>
    <cellStyle name="Heading 1 2" xfId="171"/>
    <cellStyle name="Heading 2" xfId="172"/>
    <cellStyle name="Heading 2 2" xfId="173"/>
    <cellStyle name="Heading 3" xfId="174"/>
    <cellStyle name="Heading 3 2" xfId="175"/>
    <cellStyle name="Heading 4" xfId="176"/>
    <cellStyle name="Heading 4 2" xfId="177"/>
    <cellStyle name="Heading1" xfId="178"/>
    <cellStyle name="Heading2" xfId="179"/>
    <cellStyle name="Hyperlink" xfId="180"/>
    <cellStyle name="Input" xfId="181"/>
    <cellStyle name="Input 2" xfId="182"/>
    <cellStyle name="Linked Cell" xfId="183"/>
    <cellStyle name="Linked Cell 2" xfId="184"/>
    <cellStyle name="Neutral" xfId="185"/>
    <cellStyle name="Neutral 2" xfId="186"/>
    <cellStyle name="Normal 10" xfId="187"/>
    <cellStyle name="Normal 10 2" xfId="188"/>
    <cellStyle name="Normal 10 3" xfId="189"/>
    <cellStyle name="Normal 10 4" xfId="190"/>
    <cellStyle name="Normal 11" xfId="191"/>
    <cellStyle name="Normal 11 2" xfId="192"/>
    <cellStyle name="Normal 11 3" xfId="193"/>
    <cellStyle name="Normal 11 4" xfId="194"/>
    <cellStyle name="Normal 12" xfId="195"/>
    <cellStyle name="Normal 12 2" xfId="196"/>
    <cellStyle name="Normal 12 4" xfId="197"/>
    <cellStyle name="Normal 13" xfId="198"/>
    <cellStyle name="Normal 13 2" xfId="199"/>
    <cellStyle name="Normal 14" xfId="200"/>
    <cellStyle name="Normal 14 2" xfId="201"/>
    <cellStyle name="Normal 15" xfId="202"/>
    <cellStyle name="Normal 16" xfId="203"/>
    <cellStyle name="Normal 16 2" xfId="204"/>
    <cellStyle name="Normal 17" xfId="205"/>
    <cellStyle name="Normal 17 2" xfId="206"/>
    <cellStyle name="Normal 18" xfId="207"/>
    <cellStyle name="Normal 18 2" xfId="208"/>
    <cellStyle name="Normal 19" xfId="209"/>
    <cellStyle name="Normal 19 2" xfId="210"/>
    <cellStyle name="Normal 2" xfId="211"/>
    <cellStyle name="Normal 2 2" xfId="212"/>
    <cellStyle name="Normal 2 2 2" xfId="213"/>
    <cellStyle name="Normal 2 2 3" xfId="214"/>
    <cellStyle name="Normal 2 2 4" xfId="215"/>
    <cellStyle name="Normal 2 3" xfId="216"/>
    <cellStyle name="Normal 2 5" xfId="217"/>
    <cellStyle name="Normal 2 5 2" xfId="218"/>
    <cellStyle name="Normal 20" xfId="219"/>
    <cellStyle name="Normal 20 2" xfId="220"/>
    <cellStyle name="Normal 21" xfId="221"/>
    <cellStyle name="Normal 21 2" xfId="222"/>
    <cellStyle name="Normal 22" xfId="223"/>
    <cellStyle name="Normal 22 2" xfId="224"/>
    <cellStyle name="Normal 23" xfId="225"/>
    <cellStyle name="Normal 23 2" xfId="226"/>
    <cellStyle name="Normal 24" xfId="227"/>
    <cellStyle name="Normal 24 2" xfId="228"/>
    <cellStyle name="Normal 25" xfId="229"/>
    <cellStyle name="Normal 25 2" xfId="230"/>
    <cellStyle name="Normal 26" xfId="231"/>
    <cellStyle name="Normal 26 2" xfId="232"/>
    <cellStyle name="Normal 27" xfId="233"/>
    <cellStyle name="Normal 28" xfId="234"/>
    <cellStyle name="Normal 29" xfId="235"/>
    <cellStyle name="Normal 3" xfId="236"/>
    <cellStyle name="Normal 3 2" xfId="237"/>
    <cellStyle name="Normal 3 3" xfId="238"/>
    <cellStyle name="Normal 3_Attach O, GG, Support -New Method 2-14-11" xfId="239"/>
    <cellStyle name="Normal 4" xfId="240"/>
    <cellStyle name="Normal 4 2" xfId="241"/>
    <cellStyle name="Normal 4 3" xfId="242"/>
    <cellStyle name="Normal 4 3 2" xfId="243"/>
    <cellStyle name="Normal 4 3 3" xfId="244"/>
    <cellStyle name="Normal 4 4" xfId="245"/>
    <cellStyle name="Normal 4 4 2" xfId="246"/>
    <cellStyle name="Normal 4 4 3" xfId="247"/>
    <cellStyle name="Normal 4 5" xfId="248"/>
    <cellStyle name="Normal 4 5 2" xfId="249"/>
    <cellStyle name="Normal 4 6" xfId="250"/>
    <cellStyle name="Normal 4 7" xfId="251"/>
    <cellStyle name="Normal 4 8" xfId="252"/>
    <cellStyle name="Normal 4_PBOP Exhibit 1" xfId="253"/>
    <cellStyle name="Normal 5" xfId="254"/>
    <cellStyle name="Normal 5 2" xfId="255"/>
    <cellStyle name="Normal 5 2 2" xfId="256"/>
    <cellStyle name="Normal 5 2 3" xfId="257"/>
    <cellStyle name="Normal 5 3" xfId="258"/>
    <cellStyle name="Normal 5 4" xfId="259"/>
    <cellStyle name="Normal 5 4 2" xfId="260"/>
    <cellStyle name="Normal 6" xfId="261"/>
    <cellStyle name="Normal 6 2" xfId="262"/>
    <cellStyle name="Normal 6 2 2" xfId="263"/>
    <cellStyle name="Normal 6 2 3" xfId="264"/>
    <cellStyle name="Normal 6 2 4" xfId="265"/>
    <cellStyle name="Normal 6 3" xfId="266"/>
    <cellStyle name="Normal 6 3 2" xfId="267"/>
    <cellStyle name="Normal 6 4" xfId="268"/>
    <cellStyle name="Normal 6 5" xfId="269"/>
    <cellStyle name="Normal 7" xfId="270"/>
    <cellStyle name="Normal 7 2" xfId="271"/>
    <cellStyle name="Normal 7 3" xfId="272"/>
    <cellStyle name="Normal 8" xfId="273"/>
    <cellStyle name="Normal 8 2" xfId="274"/>
    <cellStyle name="Normal 8 3" xfId="275"/>
    <cellStyle name="Normal 9" xfId="276"/>
    <cellStyle name="Normal 9 2" xfId="277"/>
    <cellStyle name="Normal 9 3" xfId="278"/>
    <cellStyle name="Normal_21 Exh B" xfId="279"/>
    <cellStyle name="Normal_ADITAnalysisID090805" xfId="280"/>
    <cellStyle name="Normal_ADITAnalysisID090805 2" xfId="281"/>
    <cellStyle name="Normal_ADITAnalysisID090805 2 2" xfId="282"/>
    <cellStyle name="Normal_ADITAnalysisID090805 3" xfId="283"/>
    <cellStyle name="Normal_ADITAnalysisID090805 4" xfId="284"/>
    <cellStyle name="Normal_ATC Projected 2008 Monthly Plant Balances for Attachment O 2 (2)" xfId="285"/>
    <cellStyle name="Normal_AU Period 2 Rev 4-27-00" xfId="286"/>
    <cellStyle name="Normal_Copy of PATH Formula Rate 2010 Projection Filed Sept 1, 2009 R1" xfId="287"/>
    <cellStyle name="Normal_FN1 Ratebase Draft SPP template (6-11-04) v2" xfId="288"/>
    <cellStyle name="Normal_I&amp;M-AK-1" xfId="289"/>
    <cellStyle name="Normal_IM LTD Hedge Entries 2" xfId="290"/>
    <cellStyle name="Normal_Revised 1-21-10  Deprec Summary" xfId="291"/>
    <cellStyle name="Normal_Schedule O Info for Mike" xfId="292"/>
    <cellStyle name="Normal_spp calc - revsd rev crd" xfId="293"/>
    <cellStyle name="Normal_spp calc - revsd rev crd 2" xfId="294"/>
    <cellStyle name="Normal_spp calc - revsd rev crd 3" xfId="295"/>
    <cellStyle name="Normal_Worksheet Q Draft dwb edits" xfId="296"/>
    <cellStyle name="Note" xfId="297"/>
    <cellStyle name="Note 2" xfId="298"/>
    <cellStyle name="Output" xfId="299"/>
    <cellStyle name="Output 2" xfId="300"/>
    <cellStyle name="Percent" xfId="301"/>
    <cellStyle name="Percent 2" xfId="302"/>
    <cellStyle name="Percent 2 2" xfId="303"/>
    <cellStyle name="Percent 3" xfId="304"/>
    <cellStyle name="Percent 3 2" xfId="305"/>
    <cellStyle name="Percent 3 3" xfId="306"/>
    <cellStyle name="Percent 3 3 2" xfId="307"/>
    <cellStyle name="Percent 3 3 3" xfId="308"/>
    <cellStyle name="Percent 3 4" xfId="309"/>
    <cellStyle name="Percent 3 4 2" xfId="310"/>
    <cellStyle name="Percent 3 4 3" xfId="311"/>
    <cellStyle name="Percent 3 5" xfId="312"/>
    <cellStyle name="Percent 3 5 2" xfId="313"/>
    <cellStyle name="Percent 3 6" xfId="314"/>
    <cellStyle name="Percent 3 7" xfId="315"/>
    <cellStyle name="Percent 4" xfId="316"/>
    <cellStyle name="Percent 4 2" xfId="317"/>
    <cellStyle name="Percent 4 3" xfId="318"/>
    <cellStyle name="Percent 4 3 2" xfId="319"/>
    <cellStyle name="Percent 4 4" xfId="320"/>
    <cellStyle name="Percent 5" xfId="321"/>
    <cellStyle name="Percent 5 2" xfId="322"/>
    <cellStyle name="Percent 6" xfId="323"/>
    <cellStyle name="Percent 6 2" xfId="324"/>
    <cellStyle name="Percent 7" xfId="325"/>
    <cellStyle name="Percent 8" xfId="326"/>
    <cellStyle name="PSChar" xfId="327"/>
    <cellStyle name="PSDate" xfId="328"/>
    <cellStyle name="PSDec" xfId="329"/>
    <cellStyle name="PSdesc" xfId="330"/>
    <cellStyle name="PSHeading" xfId="331"/>
    <cellStyle name="PSInt" xfId="332"/>
    <cellStyle name="PSSpacer" xfId="333"/>
    <cellStyle name="PStest" xfId="334"/>
    <cellStyle name="R00A" xfId="335"/>
    <cellStyle name="R00B" xfId="336"/>
    <cellStyle name="R00L" xfId="337"/>
    <cellStyle name="R01A" xfId="338"/>
    <cellStyle name="R01B" xfId="339"/>
    <cellStyle name="R01H" xfId="340"/>
    <cellStyle name="R01L" xfId="341"/>
    <cellStyle name="R02A" xfId="342"/>
    <cellStyle name="R02B" xfId="343"/>
    <cellStyle name="R02H" xfId="344"/>
    <cellStyle name="R02L" xfId="345"/>
    <cellStyle name="R03A" xfId="346"/>
    <cellStyle name="R03B" xfId="347"/>
    <cellStyle name="R03H" xfId="348"/>
    <cellStyle name="R03L" xfId="349"/>
    <cellStyle name="R04A" xfId="350"/>
    <cellStyle name="R04B" xfId="351"/>
    <cellStyle name="R04H" xfId="352"/>
    <cellStyle name="R04L" xfId="353"/>
    <cellStyle name="R05A" xfId="354"/>
    <cellStyle name="R05B" xfId="355"/>
    <cellStyle name="R05H" xfId="356"/>
    <cellStyle name="R05L" xfId="357"/>
    <cellStyle name="R06A" xfId="358"/>
    <cellStyle name="R06B" xfId="359"/>
    <cellStyle name="R06H" xfId="360"/>
    <cellStyle name="R06L" xfId="361"/>
    <cellStyle name="R07A" xfId="362"/>
    <cellStyle name="R07B" xfId="363"/>
    <cellStyle name="R07H" xfId="364"/>
    <cellStyle name="R07L" xfId="365"/>
    <cellStyle name="Title" xfId="366"/>
    <cellStyle name="Title 2" xfId="367"/>
    <cellStyle name="Total" xfId="368"/>
    <cellStyle name="Total 2" xfId="369"/>
    <cellStyle name="Warning Text" xfId="370"/>
    <cellStyle name="Warning Text 2" xfId="371"/>
  </cellStyles>
  <dxfs count="14">
    <dxf>
      <font>
        <color auto="1"/>
      </font>
      <fill>
        <patternFill>
          <bgColor indexed="35"/>
        </patternFill>
      </fill>
    </dxf>
    <dxf>
      <font>
        <color auto="1"/>
      </font>
      <fill>
        <patternFill>
          <bgColor indexed="35"/>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externalLink" Target="externalLinks/externalLink7.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195155\AppData\Local\Microsoft\Windows\Temporary%20Internet%20Files\Content.Outlook\L15BWFUN\WV%20Trans%20Company%2013%20Mo%20Projected%20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s195155\AppData\Local\Microsoft\Windows\Temporary%20Internet%20Files\Content.Outlook\L15BWFUN\WV%20Trans%20Company%2013%20Mo%20Projected%202017%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ERC\FORMULA%20RATES\AEP%20East%20Transmission%20Formula%20Rates\2016%20PJM%20Formula%20Revisions%20(ER17-405-406)\Settlement\Templates%20&amp;%20Protocols\WV%20Transco%20Projected%202017_Settled-11-14-2017_Pop-old%20PBOP.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gulated%20Tariffs\PJM%20Transmission%20FR%20Annual%20Update\Transco%20East%20Formula%20Rates\PJM%202015%20Transco%20Actuals%202016%20Forecasted\Templates\8_West%20Virginia%20Trans%20Company%20FR%20Update%20201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gulated%20Tariffs\PJM%20Transmission%20FR%20Annual%20Update\Transco%20East%20Formula%20Rates\PJM%202016%20Transco%20Actual%20(ATRR)\Templates\8_West%20Virginia%20Trans%20Company%20FR%20Update%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1">
        <row r="100">
          <cell r="J100">
            <v>0.23250098422059287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3">
          <cell r="F3" t="str">
            <v>AEPTCo subsidiaries in PJM</v>
          </cell>
        </row>
        <row r="102">
          <cell r="J102">
            <v>0.9999917654244844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3">
          <cell r="F3" t="str">
            <v>AEPTCo subsidiaries in PJM</v>
          </cell>
        </row>
        <row r="102">
          <cell r="J102">
            <v>0.9999917654244844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5">
          <cell r="F5" t="str">
            <v>AEPTCo subsidiaries in PJM</v>
          </cell>
        </row>
        <row r="104">
          <cell r="J104">
            <v>0.9999917654244844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sheetDataSet>
      <sheetData sheetId="11">
        <row r="57">
          <cell r="G57">
            <v>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sheetDataSet>
      <sheetData sheetId="11">
        <row r="57">
          <cell r="G57">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X1225"/>
  <sheetViews>
    <sheetView tabSelected="1" zoomScale="70" zoomScaleNormal="70" zoomScalePageLayoutView="50" workbookViewId="0" topLeftCell="A1">
      <selection activeCell="A1" sqref="A1"/>
    </sheetView>
  </sheetViews>
  <sheetFormatPr defaultColWidth="11.421875" defaultRowHeight="12.75"/>
  <cols>
    <col min="1" max="1" width="4.7109375" style="152" customWidth="1"/>
    <col min="2" max="2" width="7.8515625" style="151" customWidth="1"/>
    <col min="3" max="3" width="1.8515625" style="152" customWidth="1"/>
    <col min="4" max="4" width="56.00390625" style="152" customWidth="1"/>
    <col min="5" max="5" width="51.57421875" style="152" customWidth="1"/>
    <col min="6" max="6" width="17.57421875" style="152" customWidth="1"/>
    <col min="7" max="7" width="20.7109375" style="152" customWidth="1"/>
    <col min="8" max="8" width="20.00390625" style="152" customWidth="1"/>
    <col min="9" max="9" width="9.57421875" style="152" customWidth="1"/>
    <col min="10" max="10" width="17.00390625" style="152" customWidth="1"/>
    <col min="11" max="11" width="11.140625" style="152" customWidth="1"/>
    <col min="12" max="12" width="21.140625" style="152" customWidth="1"/>
    <col min="13" max="13" width="17.00390625" style="152" customWidth="1"/>
    <col min="14" max="14" width="17.57421875" style="152" customWidth="1"/>
    <col min="15" max="15" width="11.140625" style="152" customWidth="1"/>
    <col min="16" max="16" width="21.8515625" style="152" customWidth="1"/>
    <col min="17" max="17" width="11.421875" style="152" customWidth="1"/>
    <col min="18" max="18" width="20.57421875" style="152" bestFit="1" customWidth="1"/>
    <col min="19" max="16384" width="11.421875" style="152" customWidth="1"/>
  </cols>
  <sheetData>
    <row r="1" spans="4:16" ht="15.75">
      <c r="D1" s="153"/>
      <c r="E1" s="154"/>
      <c r="F1" s="154"/>
      <c r="G1" s="155"/>
      <c r="I1" s="156"/>
      <c r="J1" s="156"/>
      <c r="K1" s="156"/>
      <c r="L1" s="157"/>
      <c r="N1" s="152" t="s">
        <v>417</v>
      </c>
      <c r="O1" s="163" t="s">
        <v>417</v>
      </c>
      <c r="P1" s="152" t="s">
        <v>417</v>
      </c>
    </row>
    <row r="2" spans="9:12" ht="15">
      <c r="I2" s="152" t="s">
        <v>558</v>
      </c>
      <c r="L2" s="414">
        <v>2017</v>
      </c>
    </row>
    <row r="3" spans="4:15" ht="15">
      <c r="D3" s="158"/>
      <c r="E3" s="158"/>
      <c r="F3" s="159" t="s">
        <v>330</v>
      </c>
      <c r="G3" s="160"/>
      <c r="H3" s="160"/>
      <c r="J3" s="158"/>
      <c r="K3" s="161"/>
      <c r="L3" s="161"/>
      <c r="M3" s="162"/>
      <c r="O3" s="163"/>
    </row>
    <row r="4" spans="4:13" ht="15">
      <c r="D4" s="158"/>
      <c r="E4" s="164"/>
      <c r="F4" s="159" t="s">
        <v>204</v>
      </c>
      <c r="G4" s="160"/>
      <c r="H4" s="160"/>
      <c r="J4" s="164"/>
      <c r="K4" s="161"/>
      <c r="L4" s="161"/>
      <c r="M4" s="162"/>
    </row>
    <row r="5" spans="4:13" ht="15">
      <c r="D5" s="161"/>
      <c r="E5" s="161"/>
      <c r="F5" s="165" t="str">
        <f>"Utilizing  Actual/Projected FERC Form 1 Data"</f>
        <v>Utilizing  Actual/Projected FERC Form 1 Data</v>
      </c>
      <c r="G5" s="160"/>
      <c r="H5" s="160"/>
      <c r="J5" s="161"/>
      <c r="K5" s="161"/>
      <c r="L5" s="161"/>
      <c r="M5" s="162"/>
    </row>
    <row r="6" spans="2:13" ht="15">
      <c r="B6" s="166"/>
      <c r="C6" s="167"/>
      <c r="D6" s="161"/>
      <c r="H6" s="168"/>
      <c r="I6" s="168"/>
      <c r="J6" s="168"/>
      <c r="K6" s="168"/>
      <c r="L6" s="161"/>
      <c r="M6" s="161"/>
    </row>
    <row r="7" spans="2:13" ht="15.75">
      <c r="B7" s="166"/>
      <c r="C7" s="167"/>
      <c r="D7" s="169"/>
      <c r="E7" s="161"/>
      <c r="F7" s="170" t="s">
        <v>914</v>
      </c>
      <c r="G7" s="171"/>
      <c r="H7" s="161"/>
      <c r="I7" s="161"/>
      <c r="J7" s="161"/>
      <c r="K7" s="161"/>
      <c r="L7" s="169"/>
      <c r="M7" s="161"/>
    </row>
    <row r="8" spans="2:13" ht="15">
      <c r="B8" s="166"/>
      <c r="C8" s="167"/>
      <c r="D8" s="161"/>
      <c r="E8" s="161"/>
      <c r="F8" s="172"/>
      <c r="G8" s="171"/>
      <c r="H8" s="161"/>
      <c r="I8" s="161"/>
      <c r="J8" s="161"/>
      <c r="K8" s="161"/>
      <c r="L8" s="169"/>
      <c r="M8" s="161"/>
    </row>
    <row r="9" spans="2:13" ht="15">
      <c r="B9" s="166" t="s">
        <v>470</v>
      </c>
      <c r="C9" s="167"/>
      <c r="D9" s="161"/>
      <c r="E9" s="161"/>
      <c r="F9" s="161"/>
      <c r="G9" s="171"/>
      <c r="H9" s="161"/>
      <c r="I9" s="161"/>
      <c r="J9" s="161"/>
      <c r="K9" s="161"/>
      <c r="L9" s="167" t="s">
        <v>418</v>
      </c>
      <c r="M9" s="161"/>
    </row>
    <row r="10" spans="2:13" ht="15.75" thickBot="1">
      <c r="B10" s="173" t="s">
        <v>420</v>
      </c>
      <c r="C10" s="174"/>
      <c r="D10" s="161"/>
      <c r="E10" s="174"/>
      <c r="F10" s="161"/>
      <c r="G10" s="161"/>
      <c r="H10" s="161"/>
      <c r="I10" s="161"/>
      <c r="J10" s="161"/>
      <c r="K10" s="161"/>
      <c r="L10" s="175" t="s">
        <v>471</v>
      </c>
      <c r="M10" s="161"/>
    </row>
    <row r="11" spans="2:13" ht="15">
      <c r="B11" s="166">
        <v>1</v>
      </c>
      <c r="C11" s="167"/>
      <c r="D11" s="176" t="s">
        <v>414</v>
      </c>
      <c r="E11" s="177" t="str">
        <f>"(ln "&amp;B189&amp;")"</f>
        <v>(ln 113)</v>
      </c>
      <c r="F11" s="177"/>
      <c r="G11" s="178"/>
      <c r="H11" s="179"/>
      <c r="I11" s="161"/>
      <c r="J11" s="161"/>
      <c r="K11" s="161"/>
      <c r="L11" s="180">
        <f>+L189</f>
        <v>83050622.25153789</v>
      </c>
      <c r="M11" s="161"/>
    </row>
    <row r="12" spans="2:13" ht="15.75" thickBot="1">
      <c r="B12" s="166"/>
      <c r="C12" s="167"/>
      <c r="E12" s="181"/>
      <c r="F12" s="182"/>
      <c r="G12" s="175" t="s">
        <v>421</v>
      </c>
      <c r="H12" s="164"/>
      <c r="I12" s="183" t="s">
        <v>422</v>
      </c>
      <c r="J12" s="183"/>
      <c r="K12" s="161"/>
      <c r="L12" s="178"/>
      <c r="M12" s="161"/>
    </row>
    <row r="13" spans="2:13" ht="15">
      <c r="B13" s="166">
        <f>+B11+1</f>
        <v>2</v>
      </c>
      <c r="C13" s="167"/>
      <c r="D13" s="184" t="s">
        <v>469</v>
      </c>
      <c r="E13" s="181" t="str">
        <f>"(Worksheet E,  ln  "&amp;'WS E Rev Credits'!A29&amp;") (Note A) "</f>
        <v>(Worksheet E,  ln  8) (Note A) </v>
      </c>
      <c r="F13" s="182"/>
      <c r="G13" s="185">
        <f>+'WS E Rev Credits'!K29</f>
        <v>422310</v>
      </c>
      <c r="H13" s="182"/>
      <c r="I13" s="186" t="s">
        <v>431</v>
      </c>
      <c r="J13" s="187">
        <v>1</v>
      </c>
      <c r="K13" s="164"/>
      <c r="L13" s="188">
        <f>+J13*G13</f>
        <v>422310</v>
      </c>
      <c r="M13" s="161"/>
    </row>
    <row r="14" spans="2:13" ht="15">
      <c r="B14" s="166"/>
      <c r="C14" s="167"/>
      <c r="D14" s="184"/>
      <c r="E14" s="181"/>
      <c r="F14" s="182"/>
      <c r="G14" s="185"/>
      <c r="H14" s="182"/>
      <c r="I14" s="186"/>
      <c r="J14" s="187"/>
      <c r="K14" s="164"/>
      <c r="L14" s="188"/>
      <c r="M14" s="161"/>
    </row>
    <row r="15" spans="2:13" ht="15">
      <c r="B15" s="189">
        <f>+B13+1</f>
        <v>3</v>
      </c>
      <c r="C15" s="167"/>
      <c r="D15" s="184" t="s">
        <v>559</v>
      </c>
      <c r="E15" s="152" t="str">
        <f>"Worksheet E, ln "&amp;'WS E Rev Credits'!A31&amp;") (Note X) "</f>
        <v>Worksheet E, ln 9) (Note X) </v>
      </c>
      <c r="F15" s="164"/>
      <c r="L15" s="163">
        <f>'WS E Rev Credits'!K31</f>
        <v>0</v>
      </c>
      <c r="M15" s="161"/>
    </row>
    <row r="16" spans="2:13" ht="30.75" thickBot="1">
      <c r="B16" s="189">
        <f>+B15+1</f>
        <v>4</v>
      </c>
      <c r="C16" s="190"/>
      <c r="D16" s="191" t="s">
        <v>253</v>
      </c>
      <c r="E16" s="192" t="str">
        <f>"(ln "&amp;B11&amp;"  less ln "&amp;B13&amp;" plus ln 3)"</f>
        <v>(ln 1  less ln 2 plus ln 3)</v>
      </c>
      <c r="F16" s="161"/>
      <c r="H16" s="164"/>
      <c r="I16" s="193"/>
      <c r="J16" s="164"/>
      <c r="K16" s="164"/>
      <c r="L16" s="194">
        <f>+L11-L13+L15</f>
        <v>82628312.25153789</v>
      </c>
      <c r="M16" s="161"/>
    </row>
    <row r="17" spans="2:13" ht="15.75" thickTop="1">
      <c r="B17" s="189"/>
      <c r="C17" s="190"/>
      <c r="D17" s="184"/>
      <c r="E17" s="192"/>
      <c r="F17" s="161"/>
      <c r="H17" s="164"/>
      <c r="I17" s="193"/>
      <c r="J17" s="164"/>
      <c r="K17" s="164"/>
      <c r="L17" s="195"/>
      <c r="M17" s="161"/>
    </row>
    <row r="18" spans="2:13" ht="15">
      <c r="B18" s="189"/>
      <c r="C18" s="190"/>
      <c r="D18" s="184"/>
      <c r="E18" s="192"/>
      <c r="F18" s="161"/>
      <c r="H18" s="164"/>
      <c r="I18" s="193"/>
      <c r="J18" s="164"/>
      <c r="K18" s="164"/>
      <c r="L18" s="195"/>
      <c r="M18" s="161"/>
    </row>
    <row r="19" spans="2:9" ht="15" customHeight="1">
      <c r="B19" s="1404" t="str">
        <f>"MEMO:  The Carrying Charge Calculations on lines "&amp;B25&amp;" to "&amp;B32&amp;" below are used in calculating project revenue requirements billed through PJM Schedule 12, Transmission Enhancement Charges.  The total non-incentive revenue requirements for these projects shown on line "&amp;B22&amp;" is included in the total on line "&amp;B16&amp;"."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19" s="1404"/>
      <c r="D19" s="1404"/>
      <c r="E19" s="1404"/>
      <c r="F19" s="1404"/>
      <c r="G19" s="1404"/>
      <c r="H19" s="1404"/>
      <c r="I19" s="1404"/>
    </row>
    <row r="20" spans="2:9" ht="35.25" customHeight="1">
      <c r="B20" s="1404"/>
      <c r="C20" s="1404"/>
      <c r="D20" s="1404"/>
      <c r="E20" s="1404"/>
      <c r="F20" s="1404"/>
      <c r="G20" s="1404"/>
      <c r="H20" s="1404"/>
      <c r="I20" s="1404"/>
    </row>
    <row r="21" spans="2:9" ht="15" customHeight="1">
      <c r="B21" s="196"/>
      <c r="C21" s="196"/>
      <c r="D21" s="196"/>
      <c r="E21" s="196"/>
      <c r="F21" s="196"/>
      <c r="G21" s="196"/>
      <c r="H21" s="196"/>
      <c r="I21" s="196"/>
    </row>
    <row r="22" spans="2:13" ht="15">
      <c r="B22" s="166">
        <f>+B16+1</f>
        <v>5</v>
      </c>
      <c r="C22" s="190"/>
      <c r="D22" s="197" t="s">
        <v>560</v>
      </c>
      <c r="E22" s="181"/>
      <c r="F22" s="182"/>
      <c r="G22" s="1322">
        <f>'WS K TRUE-UP RTEP RR'!N20</f>
        <v>46078641.21876307</v>
      </c>
      <c r="H22" s="182"/>
      <c r="I22" s="186" t="s">
        <v>431</v>
      </c>
      <c r="J22" s="187">
        <v>1</v>
      </c>
      <c r="K22" s="177"/>
      <c r="L22" s="198">
        <f>+J22*G22</f>
        <v>46078641.21876307</v>
      </c>
      <c r="M22" s="161"/>
    </row>
    <row r="23" spans="2:13" ht="15">
      <c r="B23" s="166"/>
      <c r="C23" s="190"/>
      <c r="D23" s="197"/>
      <c r="E23" s="192"/>
      <c r="F23" s="182"/>
      <c r="G23" s="199"/>
      <c r="H23" s="182"/>
      <c r="I23" s="182"/>
      <c r="J23" s="187"/>
      <c r="K23" s="177"/>
      <c r="L23" s="198"/>
      <c r="M23" s="161"/>
    </row>
    <row r="24" spans="2:13" ht="15">
      <c r="B24" s="189">
        <f>+B22+1</f>
        <v>6</v>
      </c>
      <c r="C24" s="190"/>
      <c r="D24" s="197" t="s">
        <v>177</v>
      </c>
      <c r="E24" s="181"/>
      <c r="F24" s="161"/>
      <c r="G24" s="200"/>
      <c r="H24" s="161"/>
      <c r="J24" s="161"/>
      <c r="K24" s="161"/>
      <c r="M24" s="161"/>
    </row>
    <row r="25" spans="2:13" ht="15">
      <c r="B25" s="166">
        <f>B24+1</f>
        <v>7</v>
      </c>
      <c r="C25" s="190"/>
      <c r="D25" s="201" t="s">
        <v>49</v>
      </c>
      <c r="E25" s="177" t="str">
        <f>"( (ln "&amp;B11&amp;"- ln "&amp;B148&amp;")/((ln "&amp;$B$77&amp;" ) x 100) )"</f>
        <v>( (ln 1- ln 80)/((ln 33 ) x 100) )</v>
      </c>
      <c r="F25" s="167"/>
      <c r="G25" s="167"/>
      <c r="H25" s="167"/>
      <c r="I25" s="202"/>
      <c r="J25" s="202"/>
      <c r="K25" s="202"/>
      <c r="L25" s="203">
        <f>IF((L77)=0,0,(L11-L148)/(L77))</f>
        <v>0.1274190573247115</v>
      </c>
      <c r="M25" s="161"/>
    </row>
    <row r="26" spans="2:13" ht="15">
      <c r="B26" s="166">
        <f>B25+1</f>
        <v>8</v>
      </c>
      <c r="C26" s="190"/>
      <c r="D26" s="201" t="s">
        <v>50</v>
      </c>
      <c r="E26" s="177" t="str">
        <f>"(ln "&amp;B25&amp;" / 12)"</f>
        <v>(ln 7 / 12)</v>
      </c>
      <c r="F26" s="167"/>
      <c r="G26" s="167"/>
      <c r="H26" s="167"/>
      <c r="I26" s="202"/>
      <c r="J26" s="202"/>
      <c r="K26" s="202"/>
      <c r="L26" s="204">
        <f>L25/12</f>
        <v>0.010618254777059292</v>
      </c>
      <c r="M26" s="161"/>
    </row>
    <row r="27" spans="2:13" ht="15">
      <c r="B27" s="166"/>
      <c r="C27" s="190"/>
      <c r="D27" s="201"/>
      <c r="E27" s="177"/>
      <c r="F27" s="167"/>
      <c r="G27" s="167"/>
      <c r="H27" s="167"/>
      <c r="I27" s="202"/>
      <c r="J27" s="202"/>
      <c r="K27" s="202"/>
      <c r="L27" s="204"/>
      <c r="M27" s="161"/>
    </row>
    <row r="28" spans="2:13" ht="15">
      <c r="B28" s="166">
        <f>B26+1</f>
        <v>9</v>
      </c>
      <c r="C28" s="190"/>
      <c r="D28" s="197" t="str">
        <f>"NET PLANT CARRYING CHARGE ON LINE "&amp;B25&amp;" , w/o depreciation or ROE incentives (Note B)"</f>
        <v>NET PLANT CARRYING CHARGE ON LINE 7 , w/o depreciation or ROE incentives (Note B)</v>
      </c>
      <c r="E28" s="177"/>
      <c r="F28" s="167"/>
      <c r="G28" s="167"/>
      <c r="H28" s="167"/>
      <c r="I28" s="202"/>
      <c r="J28" s="202"/>
      <c r="K28" s="202"/>
      <c r="L28" s="204"/>
      <c r="M28" s="161"/>
    </row>
    <row r="29" spans="2:13" ht="15">
      <c r="B29" s="166">
        <f>B28+1</f>
        <v>10</v>
      </c>
      <c r="C29" s="190"/>
      <c r="D29" s="201" t="s">
        <v>49</v>
      </c>
      <c r="E29" s="177" t="str">
        <f>"( (ln "&amp;B11&amp;"- ln "&amp;B148&amp;" - ln "&amp;B152&amp;")/((ln "&amp;$B$77&amp;") x 100) )"</f>
        <v>( (ln 1- ln 80 - ln 83)/((ln 33) x 100) )</v>
      </c>
      <c r="F29" s="167"/>
      <c r="G29" s="167"/>
      <c r="H29" s="167"/>
      <c r="I29" s="202"/>
      <c r="J29" s="202"/>
      <c r="K29" s="202"/>
      <c r="L29" s="203">
        <f>IF(L77=0,0,(L11-L148-L152)/L77)</f>
        <v>0.11137324579597359</v>
      </c>
      <c r="M29" s="161"/>
    </row>
    <row r="30" spans="2:13" ht="15">
      <c r="B30" s="166"/>
      <c r="C30" s="190"/>
      <c r="D30" s="201"/>
      <c r="E30" s="177"/>
      <c r="F30" s="167"/>
      <c r="G30" s="167"/>
      <c r="H30" s="167"/>
      <c r="I30" s="202"/>
      <c r="J30" s="202"/>
      <c r="K30" s="202"/>
      <c r="L30" s="204"/>
      <c r="M30" s="161"/>
    </row>
    <row r="31" spans="2:13" ht="15">
      <c r="B31" s="166">
        <f>B29+1</f>
        <v>11</v>
      </c>
      <c r="C31" s="190"/>
      <c r="D31" s="197" t="str">
        <f>"NET PLANT CARRYING CHARGE ON LINE "&amp;B29&amp;", w/o Return, income taxes or ROE incentives (Note B)"</f>
        <v>NET PLANT CARRYING CHARGE ON LINE 10, w/o Return, income taxes or ROE incentives (Note B)</v>
      </c>
      <c r="E31" s="177"/>
      <c r="F31" s="205"/>
      <c r="G31" s="205"/>
      <c r="H31" s="205"/>
      <c r="I31" s="205"/>
      <c r="J31" s="205"/>
      <c r="K31" s="205"/>
      <c r="L31" s="205"/>
      <c r="M31" s="169"/>
    </row>
    <row r="32" spans="2:13" ht="15">
      <c r="B32" s="166">
        <f>B31+1</f>
        <v>12</v>
      </c>
      <c r="C32" s="190"/>
      <c r="D32" s="158" t="s">
        <v>49</v>
      </c>
      <c r="E32" s="177" t="str">
        <f>"( (ln "&amp;B11&amp;" - ln "&amp;B148&amp;" - ln "&amp;B152&amp;" - ln "&amp;B179&amp;" - ln "&amp;B181&amp;") /((ln "&amp;$B$77&amp;") x 100) )"</f>
        <v>( (ln 1 - ln 80 - ln 83 - ln 108 - ln 109) /((ln 33) x 100) )</v>
      </c>
      <c r="F32" s="205"/>
      <c r="G32" s="205"/>
      <c r="H32" s="205"/>
      <c r="I32" s="205"/>
      <c r="J32" s="205"/>
      <c r="K32" s="205"/>
      <c r="L32" s="206">
        <f>IF(L77=0,0,(L11-L148-L152-L179-L181)/L77)</f>
        <v>0.021271672705076513</v>
      </c>
      <c r="M32" s="169"/>
    </row>
    <row r="33" spans="2:13" ht="15">
      <c r="B33" s="166"/>
      <c r="C33" s="190"/>
      <c r="D33" s="158"/>
      <c r="E33" s="177"/>
      <c r="F33" s="167"/>
      <c r="G33" s="167"/>
      <c r="H33" s="167"/>
      <c r="I33" s="202"/>
      <c r="J33" s="202"/>
      <c r="K33" s="202"/>
      <c r="L33" s="203"/>
      <c r="M33" s="207"/>
    </row>
    <row r="34" spans="2:13" ht="15">
      <c r="B34" s="166">
        <f>B32+1</f>
        <v>13</v>
      </c>
      <c r="C34" s="167"/>
      <c r="D34" s="208" t="s">
        <v>561</v>
      </c>
      <c r="E34" s="177"/>
      <c r="F34" s="167"/>
      <c r="G34" s="167"/>
      <c r="H34" s="167"/>
      <c r="I34" s="202"/>
      <c r="J34" s="202"/>
      <c r="K34" s="202"/>
      <c r="L34" s="412" t="e">
        <f>+'WS J PROJECTED RTEP RR'!O24</f>
        <v>#N/A</v>
      </c>
      <c r="M34" s="161"/>
    </row>
    <row r="35" spans="2:13" ht="15">
      <c r="B35" s="166"/>
      <c r="C35" s="167"/>
      <c r="E35" s="177"/>
      <c r="F35" s="167"/>
      <c r="G35" s="167"/>
      <c r="H35" s="167"/>
      <c r="I35" s="202"/>
      <c r="J35" s="202"/>
      <c r="K35" s="202"/>
      <c r="L35" s="203"/>
      <c r="M35" s="161"/>
    </row>
    <row r="36" spans="2:13" ht="15">
      <c r="B36" s="152"/>
      <c r="C36" s="167"/>
      <c r="E36" s="177"/>
      <c r="F36" s="167"/>
      <c r="G36" s="167"/>
      <c r="H36" s="167"/>
      <c r="I36" s="202"/>
      <c r="J36" s="202"/>
      <c r="K36" s="202"/>
      <c r="L36" s="203"/>
      <c r="M36" s="161"/>
    </row>
    <row r="37" spans="2:13" ht="15.75">
      <c r="B37" s="166">
        <f>+B34+1</f>
        <v>14</v>
      </c>
      <c r="C37" s="167"/>
      <c r="D37" s="1410" t="s">
        <v>216</v>
      </c>
      <c r="E37" s="1410"/>
      <c r="F37" s="1410"/>
      <c r="G37" s="1410"/>
      <c r="H37" s="1410"/>
      <c r="I37" s="1410"/>
      <c r="J37" s="1410"/>
      <c r="K37" s="1410"/>
      <c r="L37" s="1410"/>
      <c r="M37" s="161"/>
    </row>
    <row r="38" spans="2:13" ht="15">
      <c r="B38" s="166"/>
      <c r="C38" s="167"/>
      <c r="E38" s="177"/>
      <c r="F38" s="167"/>
      <c r="G38" s="167"/>
      <c r="H38" s="167"/>
      <c r="I38" s="202"/>
      <c r="J38" s="202"/>
      <c r="K38" s="202"/>
      <c r="L38" s="203"/>
      <c r="M38" s="161"/>
    </row>
    <row r="39" spans="2:13" ht="15">
      <c r="B39" s="166">
        <f>+B37+1</f>
        <v>15</v>
      </c>
      <c r="C39" s="167"/>
      <c r="D39" s="176" t="s">
        <v>218</v>
      </c>
      <c r="E39" s="177" t="str">
        <f>"Line "&amp;B129&amp;" Below"</f>
        <v>Line 63 Below</v>
      </c>
      <c r="F39" s="167"/>
      <c r="H39" s="167"/>
      <c r="I39" s="202"/>
      <c r="J39" s="202"/>
      <c r="K39" s="202"/>
      <c r="L39" s="209">
        <f>+G129</f>
        <v>702013</v>
      </c>
      <c r="M39" s="161"/>
    </row>
    <row r="40" spans="2:13" ht="15">
      <c r="B40" s="166">
        <f>+B39+1</f>
        <v>16</v>
      </c>
      <c r="C40" s="167"/>
      <c r="D40" s="176" t="s">
        <v>283</v>
      </c>
      <c r="E40" s="161"/>
      <c r="F40" s="167"/>
      <c r="H40" s="167"/>
      <c r="I40" s="202"/>
      <c r="J40" s="202"/>
      <c r="K40" s="202"/>
      <c r="L40" s="142">
        <v>0</v>
      </c>
      <c r="M40" s="161"/>
    </row>
    <row r="41" spans="2:13" ht="15">
      <c r="B41" s="166">
        <f>+B40+1</f>
        <v>17</v>
      </c>
      <c r="C41" s="167"/>
      <c r="D41" s="176" t="s">
        <v>284</v>
      </c>
      <c r="E41" s="161"/>
      <c r="F41" s="167"/>
      <c r="H41" s="167"/>
      <c r="I41" s="202"/>
      <c r="J41" s="202"/>
      <c r="K41" s="202"/>
      <c r="L41" s="142">
        <v>0</v>
      </c>
      <c r="M41" s="161"/>
    </row>
    <row r="42" spans="2:13" ht="15">
      <c r="B42" s="166"/>
      <c r="C42" s="167"/>
      <c r="E42" s="161"/>
      <c r="F42" s="167"/>
      <c r="H42" s="167"/>
      <c r="I42" s="202"/>
      <c r="J42" s="202"/>
      <c r="K42" s="202"/>
      <c r="L42" s="167"/>
      <c r="M42" s="161"/>
    </row>
    <row r="43" spans="2:13" ht="15.75" thickBot="1">
      <c r="B43" s="166">
        <f>+B41+1</f>
        <v>18</v>
      </c>
      <c r="C43" s="167"/>
      <c r="D43" s="176" t="s">
        <v>217</v>
      </c>
      <c r="E43" s="179" t="str">
        <f>"(Line "&amp;B39&amp;" - Line "&amp;B40&amp;" - Line "&amp;B41&amp;")"</f>
        <v>(Line 15 - Line 16 - Line 17)</v>
      </c>
      <c r="F43" s="167"/>
      <c r="H43" s="167"/>
      <c r="I43" s="202"/>
      <c r="J43" s="202"/>
      <c r="K43" s="202"/>
      <c r="L43" s="210">
        <f>+L39-L40-L41</f>
        <v>702013</v>
      </c>
      <c r="M43" s="161"/>
    </row>
    <row r="44" spans="2:13" ht="15.75" thickTop="1">
      <c r="B44" s="166"/>
      <c r="C44" s="167"/>
      <c r="E44" s="177"/>
      <c r="F44" s="167"/>
      <c r="G44" s="167"/>
      <c r="H44" s="167"/>
      <c r="I44" s="202"/>
      <c r="J44" s="202"/>
      <c r="K44" s="202"/>
      <c r="L44" s="203"/>
      <c r="M44" s="161"/>
    </row>
    <row r="45" spans="2:13" ht="15">
      <c r="B45" s="166"/>
      <c r="C45" s="167"/>
      <c r="E45" s="177"/>
      <c r="F45" s="167"/>
      <c r="G45" s="167"/>
      <c r="H45" s="167"/>
      <c r="I45" s="202"/>
      <c r="J45" s="202"/>
      <c r="K45" s="202"/>
      <c r="L45" s="203"/>
      <c r="M45" s="161"/>
    </row>
    <row r="46" spans="2:13" ht="15">
      <c r="B46" s="166"/>
      <c r="C46" s="167"/>
      <c r="E46" s="177"/>
      <c r="F46" s="167"/>
      <c r="G46" s="167"/>
      <c r="H46" s="167"/>
      <c r="I46" s="202"/>
      <c r="J46" s="202"/>
      <c r="K46" s="202"/>
      <c r="L46" s="203"/>
      <c r="M46" s="161"/>
    </row>
    <row r="47" spans="4:13" ht="15">
      <c r="D47" s="158"/>
      <c r="E47" s="158"/>
      <c r="G47" s="179"/>
      <c r="H47" s="158"/>
      <c r="I47" s="158"/>
      <c r="J47" s="158"/>
      <c r="K47" s="158"/>
      <c r="L47" s="158"/>
      <c r="M47" s="211"/>
    </row>
    <row r="48" spans="4:16" ht="15">
      <c r="D48" s="158"/>
      <c r="E48" s="158"/>
      <c r="F48" s="167"/>
      <c r="G48" s="179"/>
      <c r="H48" s="158"/>
      <c r="I48" s="158"/>
      <c r="J48" s="158"/>
      <c r="K48" s="158"/>
      <c r="L48" s="158"/>
      <c r="M48" s="211"/>
      <c r="P48" s="212"/>
    </row>
    <row r="49" spans="4:16" ht="15">
      <c r="D49" s="158"/>
      <c r="E49" s="158"/>
      <c r="F49" s="167" t="str">
        <f>F3</f>
        <v>AEPTCo subsidiaries in PJM</v>
      </c>
      <c r="G49" s="179"/>
      <c r="H49" s="158"/>
      <c r="I49" s="158"/>
      <c r="J49" s="158"/>
      <c r="K49" s="158"/>
      <c r="L49" s="158"/>
      <c r="M49" s="211"/>
      <c r="P49" s="212"/>
    </row>
    <row r="50" spans="4:16" ht="15">
      <c r="D50" s="158"/>
      <c r="E50" s="164"/>
      <c r="F50" s="167" t="str">
        <f>F4</f>
        <v>Transmission Cost of Service Formula Rate</v>
      </c>
      <c r="G50" s="164"/>
      <c r="H50" s="164"/>
      <c r="I50" s="164"/>
      <c r="J50" s="164"/>
      <c r="K50" s="164"/>
      <c r="L50" s="164"/>
      <c r="M50" s="213"/>
      <c r="P50" s="214"/>
    </row>
    <row r="51" spans="4:16" ht="15">
      <c r="D51" s="158"/>
      <c r="E51" s="164"/>
      <c r="F51" s="193" t="str">
        <f>F5</f>
        <v>Utilizing  Actual/Projected FERC Form 1 Data</v>
      </c>
      <c r="G51" s="164"/>
      <c r="H51" s="164"/>
      <c r="I51" s="164"/>
      <c r="J51" s="164"/>
      <c r="K51" s="164"/>
      <c r="L51" s="164"/>
      <c r="M51" s="215"/>
      <c r="P51" s="214"/>
    </row>
    <row r="52" spans="4:16" ht="15">
      <c r="D52" s="158"/>
      <c r="E52" s="164"/>
      <c r="F52" s="167"/>
      <c r="G52" s="164"/>
      <c r="H52" s="164"/>
      <c r="I52" s="164"/>
      <c r="J52" s="164"/>
      <c r="K52" s="164"/>
      <c r="L52" s="164"/>
      <c r="M52" s="164"/>
      <c r="P52" s="214"/>
    </row>
    <row r="53" spans="4:16" ht="15">
      <c r="D53" s="158"/>
      <c r="E53" s="164"/>
      <c r="F53" s="167" t="str">
        <f>F7</f>
        <v>AEP WEST VIRGINIA TRANSMISSION COMPANY</v>
      </c>
      <c r="G53" s="164"/>
      <c r="H53" s="164"/>
      <c r="I53" s="164"/>
      <c r="J53" s="164"/>
      <c r="K53" s="164"/>
      <c r="L53" s="164"/>
      <c r="M53" s="164"/>
      <c r="P53" s="214"/>
    </row>
    <row r="54" spans="4:16" ht="15">
      <c r="D54" s="158"/>
      <c r="E54" s="193"/>
      <c r="F54" s="193"/>
      <c r="G54" s="193"/>
      <c r="H54" s="193"/>
      <c r="I54" s="193"/>
      <c r="J54" s="193"/>
      <c r="K54" s="193"/>
      <c r="L54" s="164"/>
      <c r="M54" s="164"/>
      <c r="P54" s="214"/>
    </row>
    <row r="55" spans="4:13" ht="15">
      <c r="D55" s="167" t="s">
        <v>424</v>
      </c>
      <c r="E55" s="167" t="s">
        <v>425</v>
      </c>
      <c r="F55" s="167"/>
      <c r="G55" s="167" t="s">
        <v>426</v>
      </c>
      <c r="H55" s="164" t="s">
        <v>417</v>
      </c>
      <c r="I55" s="1405" t="s">
        <v>427</v>
      </c>
      <c r="J55" s="1406"/>
      <c r="K55" s="164"/>
      <c r="L55" s="168" t="s">
        <v>428</v>
      </c>
      <c r="M55" s="164"/>
    </row>
    <row r="56" spans="2:13" ht="15">
      <c r="B56" s="152"/>
      <c r="D56" s="205"/>
      <c r="E56" s="205"/>
      <c r="F56" s="205"/>
      <c r="G56" s="209"/>
      <c r="H56" s="164"/>
      <c r="I56" s="164"/>
      <c r="J56" s="217"/>
      <c r="K56" s="164"/>
      <c r="M56" s="164"/>
    </row>
    <row r="57" spans="2:16" ht="15.75">
      <c r="B57" s="218"/>
      <c r="C57" s="167"/>
      <c r="D57" s="205"/>
      <c r="E57" s="219" t="s">
        <v>397</v>
      </c>
      <c r="F57" s="220"/>
      <c r="G57" s="164"/>
      <c r="H57" s="164"/>
      <c r="I57" s="164"/>
      <c r="J57" s="167"/>
      <c r="K57" s="164"/>
      <c r="L57" s="221" t="s">
        <v>421</v>
      </c>
      <c r="M57" s="164"/>
      <c r="P57" s="212"/>
    </row>
    <row r="58" spans="2:13" ht="15.75">
      <c r="B58" s="152"/>
      <c r="C58" s="174"/>
      <c r="D58" s="222" t="s">
        <v>396</v>
      </c>
      <c r="E58" s="223" t="s">
        <v>415</v>
      </c>
      <c r="F58" s="164"/>
      <c r="G58" s="222" t="s">
        <v>383</v>
      </c>
      <c r="H58" s="224"/>
      <c r="I58" s="1407" t="s">
        <v>422</v>
      </c>
      <c r="J58" s="1408"/>
      <c r="K58" s="224"/>
      <c r="L58" s="222" t="s">
        <v>418</v>
      </c>
      <c r="M58" s="164"/>
    </row>
    <row r="59" spans="2:13" ht="15">
      <c r="B59" s="225" t="str">
        <f>B9</f>
        <v>Line</v>
      </c>
      <c r="C59" s="167"/>
      <c r="D59" s="158"/>
      <c r="E59" s="164"/>
      <c r="F59" s="164"/>
      <c r="G59" s="226" t="s">
        <v>157</v>
      </c>
      <c r="H59" s="164"/>
      <c r="I59" s="164"/>
      <c r="J59" s="164"/>
      <c r="K59" s="164"/>
      <c r="L59" s="164"/>
      <c r="M59" s="164"/>
    </row>
    <row r="60" spans="2:13" ht="15.75" thickBot="1">
      <c r="B60" s="173" t="str">
        <f>B10</f>
        <v>No.</v>
      </c>
      <c r="C60" s="167"/>
      <c r="D60" s="158" t="s">
        <v>384</v>
      </c>
      <c r="E60" s="227"/>
      <c r="F60" s="227"/>
      <c r="G60" s="182"/>
      <c r="H60" s="182"/>
      <c r="I60" s="186"/>
      <c r="J60" s="182"/>
      <c r="K60" s="182"/>
      <c r="L60" s="182"/>
      <c r="M60" s="164"/>
    </row>
    <row r="61" spans="2:13" ht="15">
      <c r="B61" s="166">
        <f>+B43+1</f>
        <v>19</v>
      </c>
      <c r="C61" s="229"/>
      <c r="D61" s="230" t="s">
        <v>430</v>
      </c>
      <c r="E61" s="182" t="str">
        <f>"(Worksheet A ln "&amp;'WS A - Rate Base Support'!A23&amp;"."&amp;'WS A - Rate Base Support'!C8&amp;" &amp; Ln "&amp;B205&amp;")"</f>
        <v>(Worksheet A ln 14.(d) &amp; Ln 117)</v>
      </c>
      <c r="F61" s="231"/>
      <c r="G61" s="199">
        <f>'WS A - Rate Base Support'!C23</f>
        <v>667559369.5</v>
      </c>
      <c r="H61" s="199"/>
      <c r="I61" s="232" t="s">
        <v>431</v>
      </c>
      <c r="J61" s="187">
        <v>1</v>
      </c>
      <c r="K61" s="233"/>
      <c r="L61" s="234">
        <f>+L205</f>
        <v>667559369.5</v>
      </c>
      <c r="M61" s="235"/>
    </row>
    <row r="62" spans="2:13" ht="15">
      <c r="B62" s="166">
        <f>+B61+1</f>
        <v>20</v>
      </c>
      <c r="C62" s="229"/>
      <c r="D62" s="236" t="s">
        <v>180</v>
      </c>
      <c r="E62" s="182" t="str">
        <f>"(Worksheet A ln "&amp;'WS A - Rate Base Support'!A23&amp;"."&amp;'WS A - Rate Base Support'!D8&amp;")"</f>
        <v>(Worksheet A ln 14.(e))</v>
      </c>
      <c r="F62" s="231"/>
      <c r="G62" s="199">
        <f>'WS A - Rate Base Support'!D23</f>
        <v>0</v>
      </c>
      <c r="H62" s="199"/>
      <c r="I62" s="232" t="s">
        <v>423</v>
      </c>
      <c r="J62" s="187">
        <f>J132</f>
        <v>1</v>
      </c>
      <c r="K62" s="233"/>
      <c r="L62" s="234">
        <f>+G62*J62</f>
        <v>0</v>
      </c>
      <c r="M62" s="235"/>
    </row>
    <row r="63" spans="2:13" ht="15">
      <c r="B63" s="166">
        <f>+B62+1</f>
        <v>21</v>
      </c>
      <c r="C63" s="229"/>
      <c r="D63" s="158" t="s">
        <v>432</v>
      </c>
      <c r="E63" s="182" t="str">
        <f>"(Worksheet A ln "&amp;'WS A - Rate Base Support'!A23&amp;"."&amp;'WS A - Rate Base Support'!E8&amp;")"</f>
        <v>(Worksheet A ln 14.(h))</v>
      </c>
      <c r="F63" s="182"/>
      <c r="G63" s="199">
        <f>'WS A - Rate Base Support'!E23</f>
        <v>10953.5</v>
      </c>
      <c r="H63" s="199"/>
      <c r="I63" s="186" t="s">
        <v>433</v>
      </c>
      <c r="J63" s="187">
        <f>L217</f>
        <v>1</v>
      </c>
      <c r="K63" s="182"/>
      <c r="L63" s="199">
        <f>+J63*G63</f>
        <v>10953.5</v>
      </c>
      <c r="M63" s="164"/>
    </row>
    <row r="64" spans="2:13" ht="15">
      <c r="B64" s="166">
        <f>+B63+1</f>
        <v>22</v>
      </c>
      <c r="C64" s="229"/>
      <c r="D64" s="237" t="s">
        <v>179</v>
      </c>
      <c r="E64" s="182" t="str">
        <f>"(Worksheet A ln "&amp;'WS A - Rate Base Support'!A23&amp;"."&amp;'WS A - Rate Base Support'!F8&amp;")"</f>
        <v>(Worksheet A ln 14.(i))</v>
      </c>
      <c r="F64" s="182"/>
      <c r="G64" s="199">
        <f>'WS A - Rate Base Support'!F23</f>
        <v>0</v>
      </c>
      <c r="H64" s="199"/>
      <c r="I64" s="186" t="s">
        <v>433</v>
      </c>
      <c r="J64" s="187">
        <f>L217</f>
        <v>1</v>
      </c>
      <c r="K64" s="182"/>
      <c r="L64" s="199">
        <f>+G64*J64</f>
        <v>0</v>
      </c>
      <c r="M64" s="164"/>
    </row>
    <row r="65" spans="2:15" ht="15.75" thickBot="1">
      <c r="B65" s="166">
        <f>+B64+1</f>
        <v>23</v>
      </c>
      <c r="C65" s="229"/>
      <c r="D65" s="158" t="s">
        <v>434</v>
      </c>
      <c r="E65" s="182" t="str">
        <f>"(Worksheet A ln "&amp;'WS A - Rate Base Support'!A23&amp;"."&amp;'WS A - Rate Base Support'!G8&amp;")"</f>
        <v>(Worksheet A ln 14.(j))</v>
      </c>
      <c r="F65" s="182"/>
      <c r="G65" s="238">
        <f>'WS A - Rate Base Support'!G23</f>
        <v>4548165</v>
      </c>
      <c r="H65" s="199"/>
      <c r="I65" s="186" t="s">
        <v>433</v>
      </c>
      <c r="J65" s="187">
        <f>L217</f>
        <v>1</v>
      </c>
      <c r="K65" s="182"/>
      <c r="L65" s="238">
        <f>+J65*G65</f>
        <v>4548165</v>
      </c>
      <c r="M65" s="164"/>
      <c r="N65" s="158"/>
      <c r="O65" s="158"/>
    </row>
    <row r="66" spans="2:15" ht="15.75">
      <c r="B66" s="166">
        <f>+B65+1</f>
        <v>24</v>
      </c>
      <c r="C66" s="229"/>
      <c r="D66" s="158" t="s">
        <v>382</v>
      </c>
      <c r="E66" s="182" t="str">
        <f>"(Sum of Lines: "&amp;B61&amp;" to "&amp;B65&amp;")"</f>
        <v>(Sum of Lines: 19 to 23)</v>
      </c>
      <c r="F66" s="239"/>
      <c r="G66" s="199">
        <f>SUM(G61:G65)</f>
        <v>672118488</v>
      </c>
      <c r="H66" s="199"/>
      <c r="I66" s="240" t="s">
        <v>772</v>
      </c>
      <c r="J66" s="241">
        <f>IF(G66=0,0,L66/G66)</f>
        <v>1</v>
      </c>
      <c r="K66" s="182"/>
      <c r="L66" s="199">
        <f>SUM(L61:L65)</f>
        <v>672118488</v>
      </c>
      <c r="M66" s="164"/>
      <c r="N66" s="158"/>
      <c r="O66" s="158"/>
    </row>
    <row r="67" spans="2:15" ht="15.75">
      <c r="B67" s="166"/>
      <c r="C67" s="167"/>
      <c r="D67" s="158"/>
      <c r="E67" s="1228"/>
      <c r="F67" s="239"/>
      <c r="G67" s="199"/>
      <c r="H67" s="199"/>
      <c r="I67" s="240" t="s">
        <v>509</v>
      </c>
      <c r="J67" s="242">
        <f>+IF(L61=0,0,L61/(G61))</f>
        <v>1</v>
      </c>
      <c r="K67" s="182"/>
      <c r="L67" s="199"/>
      <c r="M67" s="164"/>
      <c r="N67" s="243"/>
      <c r="O67" s="158"/>
    </row>
    <row r="68" spans="2:15" ht="15">
      <c r="B68" s="166">
        <f>+B66+1</f>
        <v>25</v>
      </c>
      <c r="C68" s="167"/>
      <c r="D68" s="158" t="s">
        <v>362</v>
      </c>
      <c r="E68" s="227"/>
      <c r="F68" s="227"/>
      <c r="G68" s="199"/>
      <c r="H68" s="244"/>
      <c r="I68" s="186"/>
      <c r="J68" s="245"/>
      <c r="K68" s="182"/>
      <c r="L68" s="199"/>
      <c r="M68" s="164"/>
      <c r="N68" s="164"/>
      <c r="O68" s="164"/>
    </row>
    <row r="69" spans="2:15" ht="15.75">
      <c r="B69" s="166">
        <f aca="true" t="shared" si="0" ref="B69:B74">+B68+1</f>
        <v>26</v>
      </c>
      <c r="C69" s="229"/>
      <c r="D69" s="230" t="str">
        <f>D61</f>
        <v>  Transmission</v>
      </c>
      <c r="E69" s="182" t="str">
        <f>"(Worksheet A ln "&amp;'WS A - Rate Base Support'!A42&amp;"."&amp;'WS A - Rate Base Support'!C27&amp;" &amp; Ln "&amp;'WS A - Rate Base Support'!A64&amp;"."&amp;'WS A - Rate Base Support'!C47&amp;")"</f>
        <v>(Worksheet A ln 28.(d) &amp; Ln 43.(b))</v>
      </c>
      <c r="F69" s="231"/>
      <c r="G69" s="234">
        <f>'WS A - Rate Base Support'!C42</f>
        <v>15768154</v>
      </c>
      <c r="H69" s="199"/>
      <c r="I69" s="246" t="s">
        <v>365</v>
      </c>
      <c r="J69" s="247">
        <f>IF(G69=0,1,L69/G69)</f>
        <v>1</v>
      </c>
      <c r="K69" s="233"/>
      <c r="L69" s="199">
        <f>'WS A - Rate Base Support'!C64</f>
        <v>15768154</v>
      </c>
      <c r="M69" s="235"/>
      <c r="N69" s="164"/>
      <c r="O69" s="164"/>
    </row>
    <row r="70" spans="2:15" ht="15.75">
      <c r="B70" s="166">
        <f t="shared" si="0"/>
        <v>27</v>
      </c>
      <c r="C70" s="229"/>
      <c r="D70" s="237" t="s">
        <v>180</v>
      </c>
      <c r="E70" s="182" t="str">
        <f>"(Worksheet A ln "&amp;'WS A - Rate Base Support'!A42&amp;"."&amp;'WS A - Rate Base Support'!D27&amp;")"</f>
        <v>(Worksheet A ln 28.(e))</v>
      </c>
      <c r="F70" s="231"/>
      <c r="G70" s="199">
        <f>'WS A - Rate Base Support'!D42</f>
        <v>0</v>
      </c>
      <c r="H70" s="199"/>
      <c r="I70" s="246" t="s">
        <v>365</v>
      </c>
      <c r="J70" s="187">
        <f>+J69</f>
        <v>1</v>
      </c>
      <c r="K70" s="233"/>
      <c r="L70" s="199">
        <f>+J70*G70</f>
        <v>0</v>
      </c>
      <c r="M70" s="235"/>
      <c r="N70" s="164"/>
      <c r="O70" s="164"/>
    </row>
    <row r="71" spans="2:15" ht="15">
      <c r="B71" s="166">
        <f t="shared" si="0"/>
        <v>28</v>
      </c>
      <c r="C71" s="248"/>
      <c r="D71" s="201" t="str">
        <f>+D63</f>
        <v>  General Plant   </v>
      </c>
      <c r="E71" s="182" t="str">
        <f>"(Worksheet A ln "&amp;'WS A - Rate Base Support'!A42&amp;"."&amp;'WS A - Rate Base Support'!E27&amp;")"</f>
        <v>(Worksheet A ln 28.(h))</v>
      </c>
      <c r="F71" s="182"/>
      <c r="G71" s="185">
        <f>'WS A - Rate Base Support'!E42</f>
        <v>94.5</v>
      </c>
      <c r="H71" s="199"/>
      <c r="I71" s="186" t="s">
        <v>433</v>
      </c>
      <c r="J71" s="187">
        <f>L217</f>
        <v>1</v>
      </c>
      <c r="K71" s="182"/>
      <c r="L71" s="199">
        <f>+J71*G71</f>
        <v>94.5</v>
      </c>
      <c r="M71" s="164"/>
      <c r="N71" s="164"/>
      <c r="O71" s="164"/>
    </row>
    <row r="72" spans="2:15" ht="15">
      <c r="B72" s="166">
        <f t="shared" si="0"/>
        <v>29</v>
      </c>
      <c r="C72" s="248"/>
      <c r="D72" s="237" t="s">
        <v>179</v>
      </c>
      <c r="E72" s="182" t="str">
        <f>"(Worksheet A ln "&amp;'WS A - Rate Base Support'!A42&amp;"."&amp;'WS A - Rate Base Support'!F27&amp;")"</f>
        <v>(Worksheet A ln 28.(i))</v>
      </c>
      <c r="F72" s="182"/>
      <c r="G72" s="199">
        <f>'WS A - Rate Base Support'!F42</f>
        <v>0</v>
      </c>
      <c r="H72" s="199"/>
      <c r="I72" s="186" t="s">
        <v>433</v>
      </c>
      <c r="J72" s="187">
        <f>L217</f>
        <v>1</v>
      </c>
      <c r="K72" s="182"/>
      <c r="L72" s="199">
        <f>+J72*G72</f>
        <v>0</v>
      </c>
      <c r="M72" s="164"/>
      <c r="N72" s="164"/>
      <c r="O72" s="164"/>
    </row>
    <row r="73" spans="2:15" ht="15.75" thickBot="1">
      <c r="B73" s="166">
        <f t="shared" si="0"/>
        <v>30</v>
      </c>
      <c r="C73" s="248"/>
      <c r="D73" s="201" t="str">
        <f>+D65</f>
        <v>  Intangible Plant</v>
      </c>
      <c r="E73" s="182" t="str">
        <f>"(Worksheet A ln "&amp;'WS A - Rate Base Support'!A42&amp;"."&amp;'WS A - Rate Base Support'!G27&amp;")"</f>
        <v>(Worksheet A ln 28.(j))</v>
      </c>
      <c r="F73" s="182"/>
      <c r="G73" s="238">
        <f>'WS A - Rate Base Support'!G42</f>
        <v>835845</v>
      </c>
      <c r="H73" s="199"/>
      <c r="I73" s="186" t="s">
        <v>433</v>
      </c>
      <c r="J73" s="187">
        <f>L217</f>
        <v>1</v>
      </c>
      <c r="K73" s="182"/>
      <c r="L73" s="1150">
        <f>+J73*G73</f>
        <v>835845</v>
      </c>
      <c r="M73" s="182"/>
      <c r="N73" s="164"/>
      <c r="O73" s="164"/>
    </row>
    <row r="74" spans="2:15" ht="15">
      <c r="B74" s="166">
        <f t="shared" si="0"/>
        <v>31</v>
      </c>
      <c r="C74" s="248"/>
      <c r="D74" s="201" t="s">
        <v>381</v>
      </c>
      <c r="E74" s="182" t="str">
        <f>"(Sum of Lines: "&amp;B69&amp;" to "&amp;B73&amp;")"</f>
        <v>(Sum of Lines: 26 to 30)</v>
      </c>
      <c r="F74" s="249"/>
      <c r="G74" s="199">
        <f>SUM(G69:G73)</f>
        <v>16604093.5</v>
      </c>
      <c r="H74" s="199"/>
      <c r="I74" s="186"/>
      <c r="J74" s="182"/>
      <c r="K74" s="199"/>
      <c r="L74" s="199">
        <f>SUM(L69:L73)</f>
        <v>16604093.5</v>
      </c>
      <c r="M74" s="164"/>
      <c r="N74" s="164"/>
      <c r="O74" s="164"/>
    </row>
    <row r="75" spans="2:15" ht="15">
      <c r="B75" s="166"/>
      <c r="C75" s="167"/>
      <c r="E75" s="250"/>
      <c r="F75" s="249"/>
      <c r="G75" s="199"/>
      <c r="H75" s="199"/>
      <c r="I75" s="186"/>
      <c r="J75" s="251"/>
      <c r="K75" s="182"/>
      <c r="L75" s="199"/>
      <c r="M75" s="164"/>
      <c r="N75" s="164"/>
      <c r="O75" s="164"/>
    </row>
    <row r="76" spans="2:15" ht="15">
      <c r="B76" s="166">
        <f>+B74+1</f>
        <v>32</v>
      </c>
      <c r="C76" s="167"/>
      <c r="D76" s="158" t="s">
        <v>385</v>
      </c>
      <c r="E76" s="227"/>
      <c r="F76" s="227"/>
      <c r="G76" s="199"/>
      <c r="H76" s="199"/>
      <c r="I76" s="186"/>
      <c r="J76" s="182"/>
      <c r="K76" s="182"/>
      <c r="L76" s="199"/>
      <c r="M76" s="164"/>
      <c r="N76" s="164"/>
      <c r="O76" s="164"/>
    </row>
    <row r="77" spans="2:15" ht="15">
      <c r="B77" s="189">
        <f>+B76+1</f>
        <v>33</v>
      </c>
      <c r="C77" s="229"/>
      <c r="D77" s="237" t="str">
        <f>+D69</f>
        <v>  Transmission</v>
      </c>
      <c r="E77" s="182" t="str">
        <f>" (ln "&amp;B61&amp;" + ln "&amp;B62&amp;" - ln "&amp;B69&amp;" - ln "&amp;B70&amp;")"</f>
        <v> (ln 19 + ln 20 - ln 26 - ln 27)</v>
      </c>
      <c r="F77" s="182"/>
      <c r="G77" s="199">
        <f>+G61+G62-G69-G70</f>
        <v>651791215.5</v>
      </c>
      <c r="H77" s="199"/>
      <c r="I77" s="186"/>
      <c r="J77" s="247"/>
      <c r="K77" s="182"/>
      <c r="L77" s="199">
        <f>+L61+L62-L69-L70</f>
        <v>651791215.5</v>
      </c>
      <c r="M77" s="164"/>
      <c r="N77" s="164"/>
      <c r="O77" s="164"/>
    </row>
    <row r="78" spans="2:15" ht="15">
      <c r="B78" s="166">
        <f>+B77+1</f>
        <v>34</v>
      </c>
      <c r="C78" s="229"/>
      <c r="D78" s="237" t="str">
        <f>+D71</f>
        <v>  General Plant   </v>
      </c>
      <c r="E78" s="182" t="str">
        <f>" (ln "&amp;B63&amp;" + ln "&amp;B64&amp;" - ln "&amp;B71&amp;" - ln "&amp;B72&amp;")"</f>
        <v> (ln 21 + ln 22 - ln 28 - ln 29)</v>
      </c>
      <c r="F78" s="182"/>
      <c r="G78" s="199">
        <f>+G63+G64-G71-G72</f>
        <v>10859</v>
      </c>
      <c r="H78" s="199"/>
      <c r="I78" s="186"/>
      <c r="J78" s="251"/>
      <c r="K78" s="182"/>
      <c r="L78" s="199">
        <f>+L63+L64-L71-L72</f>
        <v>10859</v>
      </c>
      <c r="M78" s="164"/>
      <c r="N78" s="164"/>
      <c r="O78" s="164"/>
    </row>
    <row r="79" spans="2:15" ht="15.75" thickBot="1">
      <c r="B79" s="166">
        <f>+B78+1</f>
        <v>35</v>
      </c>
      <c r="C79" s="229"/>
      <c r="D79" s="237" t="str">
        <f>+D73</f>
        <v>  Intangible Plant</v>
      </c>
      <c r="E79" s="182" t="str">
        <f>" (ln "&amp;B65&amp;" - ln "&amp;B73&amp;")"</f>
        <v> (ln 23 - ln 30)</v>
      </c>
      <c r="F79" s="182"/>
      <c r="G79" s="238">
        <f>+G65-G73</f>
        <v>3712320</v>
      </c>
      <c r="H79" s="199"/>
      <c r="I79" s="186"/>
      <c r="J79" s="251"/>
      <c r="K79" s="182"/>
      <c r="L79" s="238">
        <f>+L65-L73</f>
        <v>3712320</v>
      </c>
      <c r="M79" s="164"/>
      <c r="N79" s="164"/>
      <c r="O79" s="164"/>
    </row>
    <row r="80" spans="2:15" ht="15.75">
      <c r="B80" s="166">
        <f>+B79+1</f>
        <v>36</v>
      </c>
      <c r="C80" s="229"/>
      <c r="D80" s="237" t="s">
        <v>380</v>
      </c>
      <c r="E80" s="182" t="str">
        <f>"(Sum of Lines: "&amp;B77&amp;" to "&amp;B79&amp;")"</f>
        <v>(Sum of Lines: 33 to 35)</v>
      </c>
      <c r="F80" s="182"/>
      <c r="G80" s="199">
        <f>SUM(G77:G79)</f>
        <v>655514394.5</v>
      </c>
      <c r="H80" s="199"/>
      <c r="I80" s="254" t="s">
        <v>773</v>
      </c>
      <c r="J80" s="241">
        <f>IF(G80=0,0,+L80/G80)</f>
        <v>1</v>
      </c>
      <c r="K80" s="182"/>
      <c r="L80" s="199">
        <f>SUM(L77:L79)</f>
        <v>655514394.5</v>
      </c>
      <c r="M80" s="164"/>
      <c r="N80" s="164"/>
      <c r="O80" s="164"/>
    </row>
    <row r="81" spans="2:15" ht="15">
      <c r="B81" s="166"/>
      <c r="C81" s="167"/>
      <c r="D81" s="158"/>
      <c r="E81" s="182"/>
      <c r="F81" s="182"/>
      <c r="G81" s="199"/>
      <c r="H81" s="199"/>
      <c r="I81" s="157"/>
      <c r="J81" s="255"/>
      <c r="K81" s="182"/>
      <c r="L81" s="199"/>
      <c r="M81" s="164"/>
      <c r="N81" s="164"/>
      <c r="O81" s="164"/>
    </row>
    <row r="82" spans="2:15" ht="15">
      <c r="B82" s="166"/>
      <c r="C82" s="167"/>
      <c r="G82" s="205"/>
      <c r="H82" s="205"/>
      <c r="I82" s="205"/>
      <c r="J82" s="205"/>
      <c r="K82" s="205"/>
      <c r="L82" s="205"/>
      <c r="M82" s="169"/>
      <c r="N82" s="164"/>
      <c r="O82" s="164"/>
    </row>
    <row r="83" spans="2:15" ht="15">
      <c r="B83" s="166">
        <f>+B80+1</f>
        <v>37</v>
      </c>
      <c r="C83" s="167"/>
      <c r="D83" s="158" t="s">
        <v>130</v>
      </c>
      <c r="E83" s="182" t="s">
        <v>107</v>
      </c>
      <c r="F83" s="186"/>
      <c r="G83" s="205"/>
      <c r="H83" s="205"/>
      <c r="I83" s="205"/>
      <c r="J83" s="205"/>
      <c r="K83" s="205"/>
      <c r="L83" s="205"/>
      <c r="M83" s="169"/>
      <c r="N83" s="164"/>
      <c r="O83" s="164"/>
    </row>
    <row r="84" spans="2:15" ht="15">
      <c r="B84" s="166">
        <f aca="true" t="shared" si="1" ref="B84:B89">+B83+1</f>
        <v>38</v>
      </c>
      <c r="C84" s="229"/>
      <c r="D84" s="236" t="s">
        <v>486</v>
      </c>
      <c r="E84" s="182" t="str">
        <f>"(Worksheet B, ln "&amp;'WS B ADIT &amp; ITC'!A15&amp;" &amp; ln "&amp;'WS B ADIT &amp; ITC'!A18&amp;".E)"</f>
        <v>(Worksheet B, ln 2 &amp; ln 5.E)</v>
      </c>
      <c r="F84" s="182"/>
      <c r="G84" s="199">
        <f>'WS B ADIT &amp; ITC'!I15</f>
        <v>0</v>
      </c>
      <c r="H84" s="199"/>
      <c r="I84" s="186" t="s">
        <v>429</v>
      </c>
      <c r="J84" s="187"/>
      <c r="K84" s="182"/>
      <c r="L84" s="199">
        <f>'WS B ADIT &amp; ITC'!I18</f>
        <v>0</v>
      </c>
      <c r="M84" s="164"/>
      <c r="N84" s="164"/>
      <c r="O84" s="164"/>
    </row>
    <row r="85" spans="2:15" ht="15">
      <c r="B85" s="166">
        <f t="shared" si="1"/>
        <v>39</v>
      </c>
      <c r="C85" s="229"/>
      <c r="D85" s="236" t="s">
        <v>487</v>
      </c>
      <c r="E85" s="182" t="str">
        <f>"(Worksheet B, ln "&amp;'WS B ADIT &amp; ITC'!A23&amp;" &amp; ln "&amp;'WS B ADIT &amp; ITC'!A26&amp;".E)"</f>
        <v>(Worksheet B, ln 7 &amp; ln 10.E)</v>
      </c>
      <c r="F85" s="182"/>
      <c r="G85" s="199">
        <f>-'WS B ADIT &amp; ITC'!I23</f>
        <v>-123892211.5</v>
      </c>
      <c r="H85" s="199"/>
      <c r="I85" s="186" t="s">
        <v>431</v>
      </c>
      <c r="J85" s="187"/>
      <c r="K85" s="182"/>
      <c r="L85" s="199">
        <f>-'WS B ADIT &amp; ITC'!I26</f>
        <v>-123892211.5</v>
      </c>
      <c r="M85" s="164"/>
      <c r="N85" s="164"/>
      <c r="O85" s="164"/>
    </row>
    <row r="86" spans="2:15" ht="15">
      <c r="B86" s="166">
        <f t="shared" si="1"/>
        <v>40</v>
      </c>
      <c r="C86" s="229"/>
      <c r="D86" s="236" t="s">
        <v>488</v>
      </c>
      <c r="E86" s="182" t="str">
        <f>"(Worksheet B, ln "&amp;'WS B ADIT &amp; ITC'!A31&amp;" &amp; ln "&amp;'WS B ADIT &amp; ITC'!A34&amp;".E)"</f>
        <v>(Worksheet B, ln 12 &amp; ln 15.E)</v>
      </c>
      <c r="F86" s="182"/>
      <c r="G86" s="199">
        <f>-'WS B ADIT &amp; ITC'!I31</f>
        <v>-25556170.5</v>
      </c>
      <c r="H86" s="199"/>
      <c r="I86" s="186" t="s">
        <v>431</v>
      </c>
      <c r="J86" s="187"/>
      <c r="K86" s="182"/>
      <c r="L86" s="199">
        <f>-'WS B ADIT &amp; ITC'!I34</f>
        <v>-25556170.5</v>
      </c>
      <c r="M86" s="164"/>
      <c r="N86" s="164"/>
      <c r="O86" s="164"/>
    </row>
    <row r="87" spans="2:15" ht="15">
      <c r="B87" s="166">
        <f t="shared" si="1"/>
        <v>41</v>
      </c>
      <c r="C87" s="229"/>
      <c r="D87" s="236" t="s">
        <v>489</v>
      </c>
      <c r="E87" s="182" t="str">
        <f>"(Worksheet B, ln "&amp;'WS B ADIT &amp; ITC'!A39&amp;" &amp; ln "&amp;'WS B ADIT &amp; ITC'!A42&amp;".E)"</f>
        <v>(Worksheet B, ln 17 &amp; ln 20.E)</v>
      </c>
      <c r="F87" s="182"/>
      <c r="G87" s="199">
        <f>'WS B ADIT &amp; ITC'!I39</f>
        <v>11893051</v>
      </c>
      <c r="H87" s="199"/>
      <c r="I87" s="186" t="s">
        <v>431</v>
      </c>
      <c r="J87" s="187"/>
      <c r="K87" s="182"/>
      <c r="L87" s="199">
        <f>'WS B ADIT &amp; ITC'!I42</f>
        <v>11893051</v>
      </c>
      <c r="M87" s="164"/>
      <c r="N87" s="164"/>
      <c r="O87" s="164"/>
    </row>
    <row r="88" spans="2:15" ht="15.75" thickBot="1">
      <c r="B88" s="166">
        <f t="shared" si="1"/>
        <v>42</v>
      </c>
      <c r="C88" s="229"/>
      <c r="D88" s="256" t="s">
        <v>435</v>
      </c>
      <c r="E88" s="182" t="str">
        <f>"(Worksheet B, ln "&amp;'WS B ADIT &amp; ITC'!A49&amp;" &amp; ln "&amp;'WS B ADIT &amp; ITC'!A50&amp;".E)"</f>
        <v>(Worksheet B, ln 24 &amp; ln 25.E)</v>
      </c>
      <c r="F88" s="157"/>
      <c r="G88" s="238">
        <f>-'WS B ADIT &amp; ITC'!I49</f>
        <v>0</v>
      </c>
      <c r="H88" s="199"/>
      <c r="I88" s="186" t="s">
        <v>431</v>
      </c>
      <c r="J88" s="187"/>
      <c r="K88" s="182"/>
      <c r="L88" s="238">
        <f>-'WS B ADIT &amp; ITC'!I50</f>
        <v>0</v>
      </c>
      <c r="M88" s="257"/>
      <c r="N88" s="164"/>
      <c r="O88" s="164"/>
    </row>
    <row r="89" spans="2:14" ht="15">
      <c r="B89" s="166">
        <f t="shared" si="1"/>
        <v>43</v>
      </c>
      <c r="C89" s="229"/>
      <c r="D89" s="237" t="s">
        <v>394</v>
      </c>
      <c r="E89" s="237" t="str">
        <f>"(sum lns "&amp;B84&amp;" to "&amp;B88&amp;")"</f>
        <v>(sum lns 38 to 42)</v>
      </c>
      <c r="F89" s="182"/>
      <c r="G89" s="199">
        <f>SUM(G84:G88)</f>
        <v>-137555331</v>
      </c>
      <c r="H89" s="258"/>
      <c r="I89" s="186"/>
      <c r="J89" s="206"/>
      <c r="K89" s="182"/>
      <c r="L89" s="199">
        <f>SUM(L84:L88)</f>
        <v>-137555331</v>
      </c>
      <c r="M89" s="164"/>
      <c r="N89" s="259"/>
    </row>
    <row r="90" spans="2:13" ht="15">
      <c r="B90" s="166"/>
      <c r="C90" s="167"/>
      <c r="D90" s="237"/>
      <c r="E90" s="182"/>
      <c r="F90" s="182"/>
      <c r="G90" s="199"/>
      <c r="H90" s="258"/>
      <c r="I90" s="186"/>
      <c r="J90" s="251"/>
      <c r="K90" s="182"/>
      <c r="L90" s="199"/>
      <c r="M90" s="164"/>
    </row>
    <row r="91" spans="2:13" ht="15">
      <c r="B91" s="166">
        <f>+B89+1</f>
        <v>44</v>
      </c>
      <c r="C91" s="167"/>
      <c r="D91" s="237" t="s">
        <v>498</v>
      </c>
      <c r="E91" s="182" t="str">
        <f>"(Worksheet A ln "&amp;'WS A - Rate Base Support'!A69&amp;"."&amp;'WS A - Rate Base Support'!F68&amp;")"&amp;" ln "&amp;'WS A - Rate Base Support'!A71&amp;"."&amp;'WS A - Rate Base Support'!F68&amp;")"</f>
        <v>(Worksheet A ln 44.(e)) ln 45.(e))</v>
      </c>
      <c r="F91" s="182"/>
      <c r="G91" s="199">
        <f>'WS A - Rate Base Support'!F69</f>
        <v>0</v>
      </c>
      <c r="H91" s="258"/>
      <c r="I91" s="186" t="s">
        <v>431</v>
      </c>
      <c r="J91" s="187"/>
      <c r="K91" s="182"/>
      <c r="L91" s="199">
        <f>'WS A - Rate Base Support'!F71</f>
        <v>0</v>
      </c>
      <c r="M91" s="164"/>
    </row>
    <row r="92" spans="2:13" ht="15">
      <c r="B92" s="166"/>
      <c r="C92" s="167"/>
      <c r="D92" s="237"/>
      <c r="E92" s="182"/>
      <c r="F92" s="182"/>
      <c r="G92" s="199"/>
      <c r="H92" s="258"/>
      <c r="I92" s="186"/>
      <c r="J92" s="187"/>
      <c r="K92" s="182"/>
      <c r="L92" s="199"/>
      <c r="M92" s="164"/>
    </row>
    <row r="93" spans="2:14" ht="15">
      <c r="B93" s="166">
        <f>+B91+1</f>
        <v>45</v>
      </c>
      <c r="C93" s="190"/>
      <c r="D93" s="236" t="s">
        <v>131</v>
      </c>
      <c r="E93" s="182" t="str">
        <f>"(Worksheet A ln "&amp;'WS A - Rate Base Support'!A80&amp;"."&amp;'WS A - Rate Base Support'!F68&amp;")"</f>
        <v>(Worksheet A ln 51.(e))</v>
      </c>
      <c r="F93" s="182"/>
      <c r="G93" s="199">
        <f>'WS A - Rate Base Support'!F80</f>
        <v>0</v>
      </c>
      <c r="H93" s="258"/>
      <c r="I93" s="186" t="s">
        <v>431</v>
      </c>
      <c r="J93" s="182"/>
      <c r="K93" s="182"/>
      <c r="L93" s="199">
        <f>+G93</f>
        <v>0</v>
      </c>
      <c r="M93" s="182"/>
      <c r="N93" s="157"/>
    </row>
    <row r="94" spans="2:14" ht="15">
      <c r="B94" s="166"/>
      <c r="C94" s="190"/>
      <c r="D94" s="236"/>
      <c r="E94" s="182"/>
      <c r="F94" s="182"/>
      <c r="G94" s="199"/>
      <c r="H94" s="258"/>
      <c r="I94" s="186"/>
      <c r="J94" s="182"/>
      <c r="K94" s="182"/>
      <c r="L94" s="199"/>
      <c r="M94" s="182"/>
      <c r="N94" s="157"/>
    </row>
    <row r="95" spans="2:14" ht="15">
      <c r="B95" s="189">
        <f>B93+1</f>
        <v>46</v>
      </c>
      <c r="C95" s="248"/>
      <c r="D95" s="316" t="s">
        <v>648</v>
      </c>
      <c r="E95" s="182" t="s">
        <v>649</v>
      </c>
      <c r="F95" s="182"/>
      <c r="G95" s="185"/>
      <c r="H95" s="199"/>
      <c r="I95" s="186" t="s">
        <v>433</v>
      </c>
      <c r="J95" s="187">
        <f>L217</f>
        <v>1</v>
      </c>
      <c r="K95" s="182"/>
      <c r="L95" s="185"/>
      <c r="M95" s="182"/>
      <c r="N95" s="157"/>
    </row>
    <row r="96" spans="2:13" ht="15">
      <c r="B96" s="166"/>
      <c r="C96" s="167"/>
      <c r="D96" s="237"/>
      <c r="E96" s="182"/>
      <c r="F96" s="182"/>
      <c r="G96" s="199"/>
      <c r="H96" s="258"/>
      <c r="I96" s="186"/>
      <c r="J96" s="182"/>
      <c r="K96" s="182"/>
      <c r="L96" s="199"/>
      <c r="M96" s="164"/>
    </row>
    <row r="97" spans="2:13" ht="15">
      <c r="B97" s="166">
        <f>+B95+1</f>
        <v>47</v>
      </c>
      <c r="C97" s="167"/>
      <c r="D97" s="237" t="s">
        <v>395</v>
      </c>
      <c r="E97" s="182" t="s">
        <v>295</v>
      </c>
      <c r="F97" s="182"/>
      <c r="G97" s="199"/>
      <c r="H97" s="258"/>
      <c r="I97" s="186"/>
      <c r="J97" s="182"/>
      <c r="K97" s="182"/>
      <c r="L97" s="199"/>
      <c r="M97" s="164"/>
    </row>
    <row r="98" spans="2:13" ht="15">
      <c r="B98" s="166">
        <f aca="true" t="shared" si="2" ref="B98:B106">+B97+1</f>
        <v>48</v>
      </c>
      <c r="C98" s="229"/>
      <c r="D98" s="237" t="s">
        <v>497</v>
      </c>
      <c r="E98" s="157" t="str">
        <f>"(1/8 * ln "&amp;B132&amp;")"</f>
        <v>(1/8 * ln 66)</v>
      </c>
      <c r="F98" s="157"/>
      <c r="G98" s="199">
        <f>+G132/8</f>
        <v>966535.125</v>
      </c>
      <c r="H98" s="182"/>
      <c r="I98" s="186"/>
      <c r="J98" s="251"/>
      <c r="K98" s="182"/>
      <c r="L98" s="199">
        <f>+L132/8</f>
        <v>966535.125</v>
      </c>
      <c r="M98" s="161"/>
    </row>
    <row r="99" spans="2:13" ht="15">
      <c r="B99" s="166">
        <f t="shared" si="2"/>
        <v>49</v>
      </c>
      <c r="C99" s="248"/>
      <c r="D99" s="237" t="s">
        <v>138</v>
      </c>
      <c r="E99" s="182" t="str">
        <f>"(Worksheet C, ln "&amp;'WS C  - Working Capital'!A15&amp;".(F))"</f>
        <v>(Worksheet C, ln 2.(F))</v>
      </c>
      <c r="F99" s="182"/>
      <c r="G99" s="199">
        <f>'WS C  - Working Capital'!I15</f>
        <v>0</v>
      </c>
      <c r="H99" s="205"/>
      <c r="I99" s="193" t="s">
        <v>423</v>
      </c>
      <c r="J99" s="187">
        <f>J132</f>
        <v>1</v>
      </c>
      <c r="K99" s="164"/>
      <c r="L99" s="252">
        <f>+J99*G99</f>
        <v>0</v>
      </c>
      <c r="M99" s="182"/>
    </row>
    <row r="100" spans="2:13" ht="15">
      <c r="B100" s="166">
        <f t="shared" si="2"/>
        <v>50</v>
      </c>
      <c r="C100" s="248"/>
      <c r="D100" s="237" t="s">
        <v>139</v>
      </c>
      <c r="E100" s="182" t="str">
        <f>"(Worksheet C, ln "&amp;'WS C  - Working Capital'!A17&amp;".(F))"</f>
        <v>(Worksheet C, ln 3.(F))</v>
      </c>
      <c r="F100" s="182"/>
      <c r="G100" s="199">
        <f>'WS C  - Working Capital'!I17</f>
        <v>0</v>
      </c>
      <c r="H100" s="205"/>
      <c r="I100" s="193" t="s">
        <v>433</v>
      </c>
      <c r="J100" s="187">
        <f>L217</f>
        <v>1</v>
      </c>
      <c r="K100" s="164"/>
      <c r="L100" s="252">
        <f>+J100*G100</f>
        <v>0</v>
      </c>
      <c r="M100" s="182"/>
    </row>
    <row r="101" spans="2:13" ht="15">
      <c r="B101" s="166">
        <f t="shared" si="2"/>
        <v>51</v>
      </c>
      <c r="C101" s="248"/>
      <c r="D101" s="237" t="s">
        <v>327</v>
      </c>
      <c r="E101" s="182" t="str">
        <f>"(Worksheet C, ln "&amp;'WS C  - Working Capital'!A19&amp;".(F))"</f>
        <v>(Worksheet C, ln 4.(F))</v>
      </c>
      <c r="F101" s="182"/>
      <c r="G101" s="199">
        <f>'WS C  - Working Capital'!I19</f>
        <v>0</v>
      </c>
      <c r="H101" s="205"/>
      <c r="I101" s="193" t="s">
        <v>774</v>
      </c>
      <c r="J101" s="187">
        <f>J66</f>
        <v>1</v>
      </c>
      <c r="K101" s="164"/>
      <c r="L101" s="252">
        <f>+J101*G101</f>
        <v>0</v>
      </c>
      <c r="M101" s="182"/>
    </row>
    <row r="102" spans="2:13" ht="15">
      <c r="B102" s="166">
        <f t="shared" si="2"/>
        <v>52</v>
      </c>
      <c r="C102" s="248"/>
      <c r="D102" s="236" t="s">
        <v>501</v>
      </c>
      <c r="E102" s="182" t="str">
        <f>"(Worksheet C, ln "&amp;'WS C  - Working Capital'!A29&amp;".(G))"</f>
        <v>(Worksheet C, ln 8.(G))</v>
      </c>
      <c r="F102" s="182"/>
      <c r="G102" s="199">
        <f>'WS C  - Working Capital'!J29</f>
        <v>285025.67</v>
      </c>
      <c r="H102" s="258"/>
      <c r="I102" s="186" t="s">
        <v>433</v>
      </c>
      <c r="J102" s="187">
        <f>L217</f>
        <v>1</v>
      </c>
      <c r="K102" s="182"/>
      <c r="L102" s="199">
        <f>+J102*G102</f>
        <v>285025.67</v>
      </c>
      <c r="M102" s="182"/>
    </row>
    <row r="103" spans="2:13" ht="15">
      <c r="B103" s="166">
        <f t="shared" si="2"/>
        <v>53</v>
      </c>
      <c r="C103" s="229"/>
      <c r="D103" s="237" t="s">
        <v>502</v>
      </c>
      <c r="E103" s="182" t="str">
        <f>"(Worksheet C, ln "&amp;'WS C  - Working Capital'!A29&amp;".(F))"</f>
        <v>(Worksheet C, ln 8.(F))</v>
      </c>
      <c r="F103" s="182"/>
      <c r="G103" s="199">
        <f>'WS C  - Working Capital'!I29</f>
        <v>84391</v>
      </c>
      <c r="H103" s="258"/>
      <c r="I103" s="186" t="s">
        <v>774</v>
      </c>
      <c r="J103" s="187">
        <f>J66</f>
        <v>1</v>
      </c>
      <c r="K103" s="182"/>
      <c r="L103" s="199">
        <f>+G103*J103</f>
        <v>84391</v>
      </c>
      <c r="M103" s="182"/>
    </row>
    <row r="104" spans="2:13" ht="15">
      <c r="B104" s="166">
        <f t="shared" si="2"/>
        <v>54</v>
      </c>
      <c r="C104" s="229"/>
      <c r="D104" s="237" t="s">
        <v>110</v>
      </c>
      <c r="E104" s="182" t="str">
        <f>"(Worksheet C, ln "&amp;'WS C  - Working Capital'!A29&amp;".(E))"</f>
        <v>(Worksheet C, ln 8.(E))</v>
      </c>
      <c r="F104" s="182"/>
      <c r="G104" s="199">
        <f>'WS C  - Working Capital'!G29</f>
        <v>0</v>
      </c>
      <c r="H104" s="258"/>
      <c r="I104" s="186" t="s">
        <v>431</v>
      </c>
      <c r="J104" s="187">
        <v>1</v>
      </c>
      <c r="K104" s="182"/>
      <c r="L104" s="199">
        <f>+G104</f>
        <v>0</v>
      </c>
      <c r="M104" s="182"/>
    </row>
    <row r="105" spans="2:13" ht="15.75" thickBot="1">
      <c r="B105" s="166">
        <f t="shared" si="2"/>
        <v>55</v>
      </c>
      <c r="C105" s="229"/>
      <c r="D105" s="237" t="s">
        <v>407</v>
      </c>
      <c r="E105" s="182" t="str">
        <f>"(Worksheet C, ln "&amp;'WS C  - Working Capital'!A29&amp;".(D))"</f>
        <v>(Worksheet C, ln 8.(D))</v>
      </c>
      <c r="F105" s="182"/>
      <c r="G105" s="238">
        <f>'WS C  - Working Capital'!E29</f>
        <v>0</v>
      </c>
      <c r="H105" s="199"/>
      <c r="I105" s="186" t="s">
        <v>429</v>
      </c>
      <c r="J105" s="187">
        <v>0</v>
      </c>
      <c r="K105" s="182"/>
      <c r="L105" s="238">
        <f>+G105*J105</f>
        <v>0</v>
      </c>
      <c r="M105" s="182"/>
    </row>
    <row r="106" spans="2:13" ht="15">
      <c r="B106" s="166">
        <f t="shared" si="2"/>
        <v>56</v>
      </c>
      <c r="C106" s="229"/>
      <c r="D106" s="237" t="s">
        <v>379</v>
      </c>
      <c r="E106" s="237" t="str">
        <f>"(sum lns "&amp;B98&amp;" to "&amp;B105&amp;")"</f>
        <v>(sum lns 48 to 55)</v>
      </c>
      <c r="F106" s="177"/>
      <c r="G106" s="199">
        <f>SUM(G98:G105)</f>
        <v>1335951.795</v>
      </c>
      <c r="H106" s="177"/>
      <c r="I106" s="190"/>
      <c r="J106" s="177"/>
      <c r="K106" s="177"/>
      <c r="L106" s="199">
        <f>SUM(L98:L105)</f>
        <v>1335951.795</v>
      </c>
      <c r="M106" s="161"/>
    </row>
    <row r="107" spans="2:13" ht="15">
      <c r="B107" s="166"/>
      <c r="C107" s="167"/>
      <c r="D107" s="237"/>
      <c r="E107" s="161"/>
      <c r="F107" s="161"/>
      <c r="G107" s="252"/>
      <c r="H107" s="161"/>
      <c r="I107" s="167"/>
      <c r="J107" s="161"/>
      <c r="K107" s="161"/>
      <c r="L107" s="252"/>
      <c r="M107" s="161"/>
    </row>
    <row r="108" spans="2:13" ht="15">
      <c r="B108" s="166">
        <f>+B106+1</f>
        <v>57</v>
      </c>
      <c r="C108" s="167"/>
      <c r="D108" s="236" t="s">
        <v>367</v>
      </c>
      <c r="E108" s="158" t="str">
        <f>"(Note F) (Worksheet D, ln "&amp;'WS D IPP Credits'!A21&amp;".B)"</f>
        <v>(Note F) (Worksheet D, ln 8.B)</v>
      </c>
      <c r="F108" s="161"/>
      <c r="G108" s="252">
        <f>+'WS D IPP Credits'!C19</f>
        <v>0</v>
      </c>
      <c r="H108" s="161"/>
      <c r="I108" s="260" t="s">
        <v>431</v>
      </c>
      <c r="J108" s="187">
        <v>1</v>
      </c>
      <c r="K108" s="164"/>
      <c r="L108" s="252">
        <f>+J108*G108</f>
        <v>0</v>
      </c>
      <c r="M108" s="161"/>
    </row>
    <row r="109" spans="2:13" ht="15.75" thickBot="1">
      <c r="B109" s="166"/>
      <c r="D109" s="256"/>
      <c r="E109" s="164"/>
      <c r="F109" s="164"/>
      <c r="G109" s="261"/>
      <c r="H109" s="164"/>
      <c r="I109" s="193"/>
      <c r="J109" s="164"/>
      <c r="K109" s="164"/>
      <c r="L109" s="261"/>
      <c r="M109" s="164"/>
    </row>
    <row r="110" spans="2:13" ht="15.75" thickBot="1">
      <c r="B110" s="166">
        <f>+B108+1</f>
        <v>58</v>
      </c>
      <c r="C110" s="167"/>
      <c r="D110" s="158" t="str">
        <f>"RATE BASE  (sum lns "&amp;B80&amp;", "&amp;B89&amp;", "&amp;B91&amp;", "&amp;B93&amp;", "&amp;B95&amp;", "&amp;B106&amp;", "&amp;B108&amp;")"</f>
        <v>RATE BASE  (sum lns 36, 43, 44, 45, 46, 56, 57)</v>
      </c>
      <c r="E110" s="164"/>
      <c r="F110" s="164"/>
      <c r="G110" s="262">
        <f>+G106+G91+G89+G80+G108+G93+G95</f>
        <v>519295015.29499996</v>
      </c>
      <c r="H110" s="164"/>
      <c r="I110" s="164"/>
      <c r="J110" s="263"/>
      <c r="K110" s="164"/>
      <c r="L110" s="262">
        <f>+L106+L91+L89+L80+L108+L93+L95</f>
        <v>519295015.29499996</v>
      </c>
      <c r="M110" s="164"/>
    </row>
    <row r="111" spans="2:12" ht="16.5" thickTop="1">
      <c r="B111" s="166"/>
      <c r="C111" s="205"/>
      <c r="D111" s="205"/>
      <c r="E111" s="205"/>
      <c r="F111" s="205"/>
      <c r="G111" s="205"/>
      <c r="H111" s="205"/>
      <c r="I111" s="156"/>
      <c r="J111" s="156"/>
      <c r="K111" s="156"/>
      <c r="L111" s="157"/>
    </row>
    <row r="112" spans="2:13" ht="15">
      <c r="B112" s="264"/>
      <c r="C112" s="167"/>
      <c r="D112" s="158"/>
      <c r="E112" s="164"/>
      <c r="F112" s="164"/>
      <c r="G112" s="164"/>
      <c r="H112" s="164"/>
      <c r="I112" s="164"/>
      <c r="J112" s="164"/>
      <c r="K112" s="164"/>
      <c r="L112" s="164"/>
      <c r="M112" s="164"/>
    </row>
    <row r="113" spans="2:13" ht="15">
      <c r="B113" s="264"/>
      <c r="C113" s="167"/>
      <c r="D113" s="158"/>
      <c r="E113" s="164"/>
      <c r="F113" s="193" t="str">
        <f>F49</f>
        <v>AEPTCo subsidiaries in PJM</v>
      </c>
      <c r="G113" s="193"/>
      <c r="H113" s="164"/>
      <c r="I113" s="164"/>
      <c r="J113" s="164"/>
      <c r="K113" s="164"/>
      <c r="L113" s="164"/>
      <c r="M113" s="265"/>
    </row>
    <row r="114" spans="2:13" ht="15">
      <c r="B114" s="264"/>
      <c r="C114" s="167"/>
      <c r="D114" s="158"/>
      <c r="E114" s="164"/>
      <c r="F114" s="193" t="str">
        <f>F50</f>
        <v>Transmission Cost of Service Formula Rate</v>
      </c>
      <c r="G114" s="193"/>
      <c r="H114" s="164"/>
      <c r="I114" s="164"/>
      <c r="J114" s="164"/>
      <c r="K114" s="164"/>
      <c r="L114" s="164"/>
      <c r="M114" s="265"/>
    </row>
    <row r="115" spans="2:13" ht="15">
      <c r="B115" s="264"/>
      <c r="C115" s="167"/>
      <c r="E115" s="164"/>
      <c r="F115" s="193" t="str">
        <f>F51</f>
        <v>Utilizing  Actual/Projected FERC Form 1 Data</v>
      </c>
      <c r="G115" s="164"/>
      <c r="H115" s="164"/>
      <c r="I115" s="164"/>
      <c r="J115" s="164"/>
      <c r="K115" s="164"/>
      <c r="L115" s="164"/>
      <c r="M115" s="215"/>
    </row>
    <row r="116" spans="2:13" ht="15">
      <c r="B116" s="264"/>
      <c r="C116" s="167"/>
      <c r="E116" s="164"/>
      <c r="F116" s="193"/>
      <c r="G116" s="164"/>
      <c r="H116" s="164"/>
      <c r="I116" s="164"/>
      <c r="J116" s="164"/>
      <c r="K116" s="164"/>
      <c r="L116" s="164"/>
      <c r="M116" s="164"/>
    </row>
    <row r="117" spans="2:13" ht="15">
      <c r="B117" s="264"/>
      <c r="C117" s="167"/>
      <c r="E117" s="266"/>
      <c r="F117" s="193" t="str">
        <f>F53</f>
        <v>AEP WEST VIRGINIA TRANSMISSION COMPANY</v>
      </c>
      <c r="G117" s="266"/>
      <c r="H117" s="267"/>
      <c r="I117" s="266"/>
      <c r="J117" s="266"/>
      <c r="K117" s="266"/>
      <c r="M117" s="164"/>
    </row>
    <row r="118" spans="2:13" ht="15">
      <c r="B118" s="264"/>
      <c r="C118" s="167"/>
      <c r="E118" s="266"/>
      <c r="F118" s="193"/>
      <c r="G118" s="266"/>
      <c r="H118" s="267"/>
      <c r="I118" s="266"/>
      <c r="J118" s="266"/>
      <c r="K118" s="266"/>
      <c r="M118" s="164"/>
    </row>
    <row r="119" spans="2:14" ht="15">
      <c r="B119" s="264"/>
      <c r="D119" s="167" t="s">
        <v>424</v>
      </c>
      <c r="E119" s="167" t="s">
        <v>425</v>
      </c>
      <c r="F119" s="167"/>
      <c r="G119" s="167" t="s">
        <v>426</v>
      </c>
      <c r="H119" s="182"/>
      <c r="I119" s="1405" t="s">
        <v>427</v>
      </c>
      <c r="J119" s="1409"/>
      <c r="K119" s="164"/>
      <c r="L119" s="168" t="s">
        <v>428</v>
      </c>
      <c r="M119" s="164"/>
      <c r="N119" s="168"/>
    </row>
    <row r="120" spans="2:15" ht="15.75">
      <c r="B120" s="264"/>
      <c r="D120" s="167"/>
      <c r="E120" s="167"/>
      <c r="F120" s="167"/>
      <c r="G120" s="167"/>
      <c r="H120" s="182"/>
      <c r="I120" s="164"/>
      <c r="J120" s="217"/>
      <c r="K120" s="164"/>
      <c r="M120" s="164"/>
      <c r="N120" s="269"/>
      <c r="O120" s="270"/>
    </row>
    <row r="121" spans="2:15" ht="15.75">
      <c r="B121" s="264"/>
      <c r="C121" s="167"/>
      <c r="D121" s="269" t="s">
        <v>403</v>
      </c>
      <c r="E121" s="219" t="str">
        <f>E57</f>
        <v>Data Sources</v>
      </c>
      <c r="F121" s="220"/>
      <c r="G121" s="164"/>
      <c r="H121" s="182"/>
      <c r="I121" s="164"/>
      <c r="J121" s="167"/>
      <c r="K121" s="164"/>
      <c r="L121" s="219" t="str">
        <f>L57</f>
        <v>Total</v>
      </c>
      <c r="N121" s="269"/>
      <c r="O121" s="270"/>
    </row>
    <row r="122" spans="2:15" ht="15.75">
      <c r="B122" s="264"/>
      <c r="C122" s="174"/>
      <c r="D122" s="222" t="s">
        <v>404</v>
      </c>
      <c r="E122" s="271" t="str">
        <f>E58</f>
        <v>(See "General Notes")</v>
      </c>
      <c r="F122" s="164"/>
      <c r="G122" s="271" t="str">
        <f>G58</f>
        <v>TO Total</v>
      </c>
      <c r="H122" s="272"/>
      <c r="I122" s="1407" t="str">
        <f>I58</f>
        <v>Allocator</v>
      </c>
      <c r="J122" s="1408"/>
      <c r="K122" s="224"/>
      <c r="L122" s="271" t="str">
        <f>L58</f>
        <v>Transmission</v>
      </c>
      <c r="M122" s="164"/>
      <c r="N122" s="269"/>
      <c r="O122" s="270"/>
    </row>
    <row r="123" spans="2:13" ht="15.75">
      <c r="B123" s="166" t="str">
        <f>B59</f>
        <v>Line</v>
      </c>
      <c r="D123" s="158"/>
      <c r="E123" s="164"/>
      <c r="F123" s="164"/>
      <c r="G123" s="222"/>
      <c r="H123" s="273"/>
      <c r="I123" s="269"/>
      <c r="K123" s="274"/>
      <c r="L123" s="222"/>
      <c r="M123" s="164"/>
    </row>
    <row r="124" spans="2:13" ht="15">
      <c r="B124" s="166" t="str">
        <f>B60</f>
        <v>No.</v>
      </c>
      <c r="C124" s="167"/>
      <c r="D124" s="158" t="s">
        <v>405</v>
      </c>
      <c r="E124" s="164"/>
      <c r="F124" s="164"/>
      <c r="G124" s="164"/>
      <c r="H124" s="182"/>
      <c r="I124" s="193"/>
      <c r="J124" s="164"/>
      <c r="K124" s="164"/>
      <c r="L124" s="164"/>
      <c r="M124" s="164"/>
    </row>
    <row r="125" spans="2:13" ht="15">
      <c r="B125" s="166">
        <f>+B110+1</f>
        <v>59</v>
      </c>
      <c r="C125" s="167"/>
      <c r="D125" s="201" t="s">
        <v>33</v>
      </c>
      <c r="E125" s="164" t="s">
        <v>495</v>
      </c>
      <c r="F125" s="182"/>
      <c r="G125" s="1325">
        <v>0</v>
      </c>
      <c r="H125" s="182"/>
      <c r="I125" s="186"/>
      <c r="J125" s="187"/>
      <c r="K125" s="182"/>
      <c r="L125" s="199"/>
      <c r="M125" s="164"/>
    </row>
    <row r="126" spans="2:13" ht="15">
      <c r="B126" s="166">
        <f aca="true" t="shared" si="3" ref="B126:B132">+B125+1</f>
        <v>60</v>
      </c>
      <c r="C126" s="167"/>
      <c r="D126" s="201" t="s">
        <v>46</v>
      </c>
      <c r="E126" s="164" t="s">
        <v>207</v>
      </c>
      <c r="F126" s="182"/>
      <c r="G126" s="1325">
        <v>0</v>
      </c>
      <c r="H126" s="182"/>
      <c r="I126" s="186"/>
      <c r="J126" s="187"/>
      <c r="K126" s="182"/>
      <c r="L126" s="199"/>
      <c r="M126" s="164"/>
    </row>
    <row r="127" spans="2:15" ht="15.75" thickBot="1">
      <c r="B127" s="166">
        <f t="shared" si="3"/>
        <v>61</v>
      </c>
      <c r="C127" s="167"/>
      <c r="D127" s="201" t="s">
        <v>436</v>
      </c>
      <c r="E127" s="164" t="s">
        <v>206</v>
      </c>
      <c r="F127" s="182"/>
      <c r="G127" s="1324">
        <v>8434294</v>
      </c>
      <c r="H127" s="1323"/>
      <c r="I127" s="205"/>
      <c r="J127" s="205"/>
      <c r="K127" s="169"/>
      <c r="L127" s="169"/>
      <c r="M127" s="161"/>
      <c r="N127" s="164"/>
      <c r="O127" s="164"/>
    </row>
    <row r="128" spans="2:15" ht="15">
      <c r="B128" s="166">
        <f t="shared" si="3"/>
        <v>62</v>
      </c>
      <c r="C128" s="167"/>
      <c r="D128" s="201" t="s">
        <v>47</v>
      </c>
      <c r="E128" s="182" t="str">
        <f>"(sum lns "&amp;B125&amp;"  to "&amp;B127&amp;")"</f>
        <v>(sum lns 59  to 61)</v>
      </c>
      <c r="F128" s="182"/>
      <c r="G128" s="199">
        <f>SUM(G125:G127)</f>
        <v>8434294</v>
      </c>
      <c r="H128" s="199"/>
      <c r="I128" s="205"/>
      <c r="J128" s="205"/>
      <c r="K128" s="169"/>
      <c r="L128" s="169"/>
      <c r="M128" s="161"/>
      <c r="N128" s="164"/>
      <c r="O128" s="164"/>
    </row>
    <row r="129" spans="2:15" ht="15">
      <c r="B129" s="166">
        <f t="shared" si="3"/>
        <v>63</v>
      </c>
      <c r="C129" s="167"/>
      <c r="D129" s="201" t="s">
        <v>132</v>
      </c>
      <c r="E129" s="182" t="str">
        <f>"(Note G) (Worksheet F, ln "&amp;'WS F Misc Exp'!A31&amp;".C)"</f>
        <v>(Note G) (Worksheet F, ln 14.C)</v>
      </c>
      <c r="F129" s="182"/>
      <c r="G129" s="199">
        <f>+'WS F Misc Exp'!D31</f>
        <v>702013</v>
      </c>
      <c r="H129" s="199"/>
      <c r="I129" s="205"/>
      <c r="J129" s="205"/>
      <c r="K129" s="169"/>
      <c r="L129" s="169"/>
      <c r="M129" s="161"/>
      <c r="N129" s="164"/>
      <c r="O129" s="164"/>
    </row>
    <row r="130" spans="2:15" ht="15">
      <c r="B130" s="166">
        <f t="shared" si="3"/>
        <v>64</v>
      </c>
      <c r="C130" s="167"/>
      <c r="D130" s="201" t="s">
        <v>361</v>
      </c>
      <c r="E130" s="182" t="s">
        <v>402</v>
      </c>
      <c r="F130" s="182"/>
      <c r="G130" s="143"/>
      <c r="H130" s="199"/>
      <c r="I130" s="205"/>
      <c r="J130" s="205"/>
      <c r="K130" s="169"/>
      <c r="L130" s="169"/>
      <c r="M130" s="161"/>
      <c r="N130" s="164"/>
      <c r="O130" s="164"/>
    </row>
    <row r="131" spans="2:15" ht="15.75" thickBot="1">
      <c r="B131" s="166">
        <f t="shared" si="3"/>
        <v>65</v>
      </c>
      <c r="C131" s="190"/>
      <c r="D131" s="201" t="s">
        <v>136</v>
      </c>
      <c r="E131" s="182" t="str">
        <f>"(Note I) (Worksheet F, ln "&amp;'WS F Misc Exp'!A19&amp;".C)"</f>
        <v>(Note I) (Worksheet F, ln 4.C)</v>
      </c>
      <c r="F131" s="182"/>
      <c r="G131" s="238">
        <f>+'WS F Misc Exp'!D19</f>
        <v>0</v>
      </c>
      <c r="H131" s="199"/>
      <c r="I131" s="258"/>
      <c r="J131" s="258"/>
      <c r="K131" s="169"/>
      <c r="L131" s="169"/>
      <c r="M131" s="161"/>
      <c r="N131" s="164"/>
      <c r="O131" s="164"/>
    </row>
    <row r="132" spans="2:15" ht="15">
      <c r="B132" s="166">
        <f t="shared" si="3"/>
        <v>66</v>
      </c>
      <c r="C132" s="167"/>
      <c r="D132" s="201" t="s">
        <v>203</v>
      </c>
      <c r="E132" s="164" t="str">
        <f>"(lns "&amp;B127&amp;" - "&amp;B129&amp;" - "&amp;B130&amp;" - "&amp;B131&amp;")"</f>
        <v>(lns 61 - 63 - 64 - 65)</v>
      </c>
      <c r="F132" s="201"/>
      <c r="G132" s="199">
        <f>G127-G129-G130-G131</f>
        <v>7732281</v>
      </c>
      <c r="H132" s="182"/>
      <c r="I132" s="193" t="s">
        <v>423</v>
      </c>
      <c r="J132" s="187">
        <f>L207</f>
        <v>1</v>
      </c>
      <c r="K132" s="182"/>
      <c r="L132" s="199">
        <f>+J132*G132</f>
        <v>7732281</v>
      </c>
      <c r="M132" s="177"/>
      <c r="N132" s="164"/>
      <c r="O132" s="164"/>
    </row>
    <row r="133" spans="2:15" ht="15">
      <c r="B133" s="166"/>
      <c r="C133" s="167"/>
      <c r="D133" s="201"/>
      <c r="E133" s="182"/>
      <c r="F133" s="182"/>
      <c r="G133" s="275"/>
      <c r="H133" s="199"/>
      <c r="I133" s="205"/>
      <c r="J133" s="205"/>
      <c r="K133" s="169"/>
      <c r="L133" s="169"/>
      <c r="M133" s="161"/>
      <c r="N133" s="164"/>
      <c r="O133" s="164"/>
    </row>
    <row r="134" spans="2:15" ht="15">
      <c r="B134" s="166">
        <f>+B132+1</f>
        <v>67</v>
      </c>
      <c r="C134" s="167"/>
      <c r="D134" s="158" t="s">
        <v>406</v>
      </c>
      <c r="E134" s="182" t="s">
        <v>771</v>
      </c>
      <c r="F134" s="164"/>
      <c r="G134" s="1327">
        <v>2419006</v>
      </c>
      <c r="H134" s="1323" t="s">
        <v>417</v>
      </c>
      <c r="I134" s="253"/>
      <c r="J134" s="253"/>
      <c r="K134" s="164"/>
      <c r="L134" s="252"/>
      <c r="M134" s="164"/>
      <c r="N134" s="164"/>
      <c r="O134" s="164"/>
    </row>
    <row r="135" spans="2:15" ht="15">
      <c r="B135" s="166">
        <f aca="true" t="shared" si="4" ref="B135:B141">+B134+1</f>
        <v>68</v>
      </c>
      <c r="C135" s="167"/>
      <c r="D135" s="201" t="s">
        <v>134</v>
      </c>
      <c r="E135" s="164" t="s">
        <v>208</v>
      </c>
      <c r="F135" s="164"/>
      <c r="G135" s="1327">
        <v>123656</v>
      </c>
      <c r="H135" s="199"/>
      <c r="I135" s="253"/>
      <c r="J135" s="158"/>
      <c r="K135" s="164"/>
      <c r="L135" s="252"/>
      <c r="M135" s="169"/>
      <c r="N135" s="164"/>
      <c r="O135" s="164"/>
    </row>
    <row r="136" spans="2:15" ht="15">
      <c r="B136" s="166">
        <f t="shared" si="4"/>
        <v>69</v>
      </c>
      <c r="C136" s="167"/>
      <c r="D136" s="158" t="s">
        <v>133</v>
      </c>
      <c r="E136" s="164" t="s">
        <v>398</v>
      </c>
      <c r="F136" s="182"/>
      <c r="G136" s="1327">
        <v>36819</v>
      </c>
      <c r="H136" s="199"/>
      <c r="I136" s="253"/>
      <c r="J136" s="276"/>
      <c r="K136" s="164"/>
      <c r="L136" s="252"/>
      <c r="M136" s="164"/>
      <c r="N136" s="164"/>
      <c r="O136" s="164"/>
    </row>
    <row r="137" spans="2:15" ht="15">
      <c r="B137" s="166">
        <f t="shared" si="4"/>
        <v>70</v>
      </c>
      <c r="C137" s="167"/>
      <c r="D137" s="201" t="s">
        <v>410</v>
      </c>
      <c r="E137" s="164" t="s">
        <v>399</v>
      </c>
      <c r="F137" s="182"/>
      <c r="G137" s="1327">
        <v>1607</v>
      </c>
      <c r="H137" s="199"/>
      <c r="I137" s="253"/>
      <c r="J137" s="253"/>
      <c r="K137" s="164"/>
      <c r="L137" s="252"/>
      <c r="M137" s="164"/>
      <c r="N137" s="164"/>
      <c r="O137" s="164"/>
    </row>
    <row r="138" spans="2:15" ht="15.75" thickBot="1">
      <c r="B138" s="166">
        <f t="shared" si="4"/>
        <v>71</v>
      </c>
      <c r="C138" s="167"/>
      <c r="D138" s="201" t="s">
        <v>135</v>
      </c>
      <c r="E138" s="164" t="s">
        <v>400</v>
      </c>
      <c r="F138" s="182"/>
      <c r="G138" s="1326">
        <v>45070</v>
      </c>
      <c r="H138" s="199"/>
      <c r="I138" s="253"/>
      <c r="J138" s="253"/>
      <c r="K138" s="164"/>
      <c r="L138" s="252"/>
      <c r="M138" s="164"/>
      <c r="N138" s="164"/>
      <c r="O138" s="164"/>
    </row>
    <row r="139" spans="2:15" ht="15">
      <c r="B139" s="166">
        <f>+B138+1</f>
        <v>72</v>
      </c>
      <c r="C139" s="167"/>
      <c r="D139" s="158" t="s">
        <v>411</v>
      </c>
      <c r="E139" s="182" t="str">
        <f>"(ln "&amp;B134&amp;" - sum ln "&amp;B135&amp;"  to ln "&amp;B138&amp;")"</f>
        <v>(ln 67 - sum ln 68  to ln 71)</v>
      </c>
      <c r="F139" s="182"/>
      <c r="G139" s="199">
        <f>G134-SUM(G135:G138)</f>
        <v>2211854</v>
      </c>
      <c r="H139" s="199"/>
      <c r="I139" s="193" t="s">
        <v>433</v>
      </c>
      <c r="J139" s="187">
        <f>L217</f>
        <v>1</v>
      </c>
      <c r="K139" s="164"/>
      <c r="L139" s="252">
        <f>+J139*G139</f>
        <v>2211854</v>
      </c>
      <c r="M139" s="164"/>
      <c r="N139" s="164"/>
      <c r="O139" s="164"/>
    </row>
    <row r="140" spans="2:15" ht="15">
      <c r="B140" s="166">
        <f t="shared" si="4"/>
        <v>73</v>
      </c>
      <c r="C140" s="190"/>
      <c r="D140" s="201" t="s">
        <v>490</v>
      </c>
      <c r="E140" s="182" t="str">
        <f>"(ln "&amp;B135&amp;")"</f>
        <v>(ln 68)</v>
      </c>
      <c r="F140" s="182"/>
      <c r="G140" s="199">
        <f>+G135</f>
        <v>123656</v>
      </c>
      <c r="H140" s="199"/>
      <c r="I140" s="277" t="s">
        <v>647</v>
      </c>
      <c r="J140" s="187">
        <f>J66</f>
        <v>1</v>
      </c>
      <c r="K140" s="182"/>
      <c r="L140" s="199">
        <f>+J140*G140</f>
        <v>123656</v>
      </c>
      <c r="M140" s="164"/>
      <c r="N140" s="164"/>
      <c r="O140" s="164"/>
    </row>
    <row r="141" spans="2:15" ht="15">
      <c r="B141" s="166">
        <f t="shared" si="4"/>
        <v>74</v>
      </c>
      <c r="C141" s="167"/>
      <c r="D141" s="201" t="s">
        <v>1</v>
      </c>
      <c r="E141" s="182" t="str">
        <f>"Worksheet F ln "&amp;'WS F Misc Exp'!A42&amp;".(E) (Note L)"</f>
        <v>Worksheet F ln 21.(E) (Note L)</v>
      </c>
      <c r="F141" s="182"/>
      <c r="G141" s="199">
        <f>+'WS F Misc Exp'!F42</f>
        <v>36243</v>
      </c>
      <c r="H141" s="199"/>
      <c r="I141" s="193" t="s">
        <v>423</v>
      </c>
      <c r="J141" s="187">
        <f>L207</f>
        <v>1</v>
      </c>
      <c r="K141" s="164"/>
      <c r="L141" s="252">
        <f>J141*G141</f>
        <v>36243</v>
      </c>
      <c r="M141" s="164"/>
      <c r="N141" s="164"/>
      <c r="O141" s="164"/>
    </row>
    <row r="142" spans="2:15" ht="15">
      <c r="B142" s="166">
        <f>B141+1</f>
        <v>75</v>
      </c>
      <c r="C142" s="167"/>
      <c r="D142" s="201" t="s">
        <v>26</v>
      </c>
      <c r="E142" s="182" t="str">
        <f>"Worksheet F ln "&amp;'WS F Misc Exp'!A62&amp;".(E) (Note L)"</f>
        <v>Worksheet F ln 38.(E) (Note L)</v>
      </c>
      <c r="F142" s="182"/>
      <c r="G142" s="185">
        <f>+'WS F Misc Exp'!F62</f>
        <v>0</v>
      </c>
      <c r="H142" s="182"/>
      <c r="I142" s="186" t="s">
        <v>423</v>
      </c>
      <c r="J142" s="187">
        <f>L207</f>
        <v>1</v>
      </c>
      <c r="K142" s="164"/>
      <c r="L142" s="252">
        <f>+J142*G142</f>
        <v>0</v>
      </c>
      <c r="M142" s="164"/>
      <c r="N142" s="164"/>
      <c r="O142" s="164"/>
    </row>
    <row r="143" spans="2:15" ht="15">
      <c r="B143" s="166">
        <f>+B142+1</f>
        <v>76</v>
      </c>
      <c r="C143" s="167"/>
      <c r="D143" s="201" t="s">
        <v>27</v>
      </c>
      <c r="E143" s="182" t="str">
        <f>"Worksheet F ln "&amp;'WS F Misc Exp'!A70&amp;".(E) (Note L)"</f>
        <v>Worksheet F ln 43.(E) (Note L)</v>
      </c>
      <c r="F143" s="182"/>
      <c r="G143" s="185">
        <f>+'WS F Misc Exp'!F70</f>
        <v>-214</v>
      </c>
      <c r="H143" s="278"/>
      <c r="I143" s="186" t="s">
        <v>431</v>
      </c>
      <c r="J143" s="187">
        <v>1</v>
      </c>
      <c r="K143" s="164"/>
      <c r="L143" s="279">
        <f>+J143*G143</f>
        <v>-214</v>
      </c>
      <c r="M143" s="164"/>
      <c r="N143" s="164"/>
      <c r="O143" s="164"/>
    </row>
    <row r="144" spans="2:15" ht="15">
      <c r="B144" s="166">
        <f>+B143+1</f>
        <v>77</v>
      </c>
      <c r="C144" s="167"/>
      <c r="D144" s="1307" t="s">
        <v>810</v>
      </c>
      <c r="E144" s="182" t="str">
        <f>"Worksheet O Ln "&amp;'Worksheet O'!A31&amp;"."&amp;'Worksheet O'!D9&amp;", (Note K &amp; M)"</f>
        <v>Worksheet O Ln 16.(B), (Note K &amp; M)</v>
      </c>
      <c r="F144" s="182"/>
      <c r="G144" s="185">
        <f>'Worksheet O'!D31</f>
        <v>212103.40816</v>
      </c>
      <c r="H144" s="278"/>
      <c r="I144" s="193" t="s">
        <v>433</v>
      </c>
      <c r="J144" s="187">
        <f>L217</f>
        <v>1</v>
      </c>
      <c r="K144" s="164"/>
      <c r="L144" s="279">
        <f>+J144*G144</f>
        <v>212103.40816</v>
      </c>
      <c r="M144" s="164"/>
      <c r="N144" s="164"/>
      <c r="O144" s="164"/>
    </row>
    <row r="145" spans="2:15" ht="15">
      <c r="B145" s="166">
        <f>+B144+1</f>
        <v>78</v>
      </c>
      <c r="C145" s="167"/>
      <c r="D145" s="158" t="s">
        <v>412</v>
      </c>
      <c r="E145" s="182" t="str">
        <f>"(sum lns "&amp;B139&amp;"  to "&amp;B144&amp;")"</f>
        <v>(sum lns 72  to 77)</v>
      </c>
      <c r="F145" s="182"/>
      <c r="G145" s="252">
        <f>SUM(G139:G144)</f>
        <v>2583642.40816</v>
      </c>
      <c r="H145" s="199"/>
      <c r="I145" s="193"/>
      <c r="J145" s="253"/>
      <c r="K145" s="164"/>
      <c r="L145" s="252">
        <f>SUM(L139:L144)</f>
        <v>2583642.40816</v>
      </c>
      <c r="M145" s="164"/>
      <c r="N145" s="252"/>
      <c r="O145" s="164"/>
    </row>
    <row r="146" spans="2:15" ht="15.75" thickBot="1">
      <c r="B146" s="166"/>
      <c r="C146" s="167"/>
      <c r="D146" s="201"/>
      <c r="E146" s="182"/>
      <c r="F146" s="182"/>
      <c r="G146" s="238"/>
      <c r="H146" s="182"/>
      <c r="I146" s="193"/>
      <c r="J146" s="253"/>
      <c r="K146" s="164"/>
      <c r="L146" s="261"/>
      <c r="M146" s="164"/>
      <c r="N146" s="164"/>
      <c r="O146" s="164"/>
    </row>
    <row r="147" spans="2:15" ht="15">
      <c r="B147" s="166">
        <f>+B145+1</f>
        <v>79</v>
      </c>
      <c r="C147" s="190"/>
      <c r="D147" s="201" t="s">
        <v>205</v>
      </c>
      <c r="E147" s="182" t="str">
        <f>"(ln "&amp;B132&amp;" + ln "&amp;B145&amp;")"</f>
        <v>(ln 66 + ln 78)</v>
      </c>
      <c r="F147" s="182"/>
      <c r="G147" s="199">
        <f>+G132+G145</f>
        <v>10315923.408160001</v>
      </c>
      <c r="H147" s="199"/>
      <c r="I147" s="186"/>
      <c r="J147" s="182"/>
      <c r="K147" s="182"/>
      <c r="L147" s="199">
        <f>L132+L145</f>
        <v>10315923.408160001</v>
      </c>
      <c r="M147" s="164"/>
      <c r="N147" s="164"/>
      <c r="O147" s="164"/>
    </row>
    <row r="148" spans="2:15" ht="15.75" thickBot="1">
      <c r="B148" s="189">
        <f>+B147+1</f>
        <v>80</v>
      </c>
      <c r="C148" s="190"/>
      <c r="D148" s="201" t="s">
        <v>281</v>
      </c>
      <c r="E148" s="201"/>
      <c r="F148" s="182"/>
      <c r="G148" s="140">
        <v>0</v>
      </c>
      <c r="H148" s="199"/>
      <c r="I148" s="193" t="s">
        <v>431</v>
      </c>
      <c r="J148" s="187">
        <f>J61</f>
        <v>1</v>
      </c>
      <c r="K148" s="182"/>
      <c r="L148" s="261">
        <f>J148*G148</f>
        <v>0</v>
      </c>
      <c r="M148" s="164"/>
      <c r="N148" s="164"/>
      <c r="O148" s="164"/>
    </row>
    <row r="149" spans="2:15" ht="15">
      <c r="B149" s="189">
        <f>+B148+1</f>
        <v>81</v>
      </c>
      <c r="C149" s="167"/>
      <c r="D149" s="201" t="s">
        <v>413</v>
      </c>
      <c r="E149" s="182" t="str">
        <f>"(ln "&amp;B147&amp;" + ln "&amp;B148&amp;")"</f>
        <v>(ln 79 + ln 80)</v>
      </c>
      <c r="F149" s="182"/>
      <c r="G149" s="199">
        <f>+G147+G148</f>
        <v>10315923.408160001</v>
      </c>
      <c r="H149" s="199"/>
      <c r="I149" s="186"/>
      <c r="J149" s="182"/>
      <c r="K149" s="182"/>
      <c r="L149" s="199">
        <f>+L147+L148</f>
        <v>10315923.408160001</v>
      </c>
      <c r="M149" s="164"/>
      <c r="N149" s="164"/>
      <c r="O149" s="164"/>
    </row>
    <row r="150" spans="2:15" ht="15">
      <c r="B150" s="189"/>
      <c r="C150" s="167"/>
      <c r="D150" s="201"/>
      <c r="E150" s="164"/>
      <c r="F150" s="164"/>
      <c r="G150" s="252"/>
      <c r="H150" s="182"/>
      <c r="I150" s="164"/>
      <c r="J150" s="164"/>
      <c r="K150" s="164"/>
      <c r="L150" s="252"/>
      <c r="M150" s="164"/>
      <c r="N150" s="164"/>
      <c r="O150" s="164"/>
    </row>
    <row r="151" spans="2:15" ht="15">
      <c r="B151" s="189">
        <f>+B149+1</f>
        <v>82</v>
      </c>
      <c r="C151" s="167"/>
      <c r="D151" s="237" t="s">
        <v>416</v>
      </c>
      <c r="E151" s="186"/>
      <c r="F151" s="186"/>
      <c r="G151" s="252"/>
      <c r="H151" s="182"/>
      <c r="I151" s="193"/>
      <c r="J151" s="164"/>
      <c r="K151" s="164"/>
      <c r="L151" s="252"/>
      <c r="M151" s="164"/>
      <c r="N151" s="164"/>
      <c r="O151" s="164"/>
    </row>
    <row r="152" spans="2:15" ht="15">
      <c r="B152" s="189">
        <f>+B151+1</f>
        <v>83</v>
      </c>
      <c r="C152" s="167"/>
      <c r="D152" s="230" t="str">
        <f>+D127</f>
        <v>  Transmission </v>
      </c>
      <c r="E152" s="181" t="s">
        <v>209</v>
      </c>
      <c r="F152" s="280"/>
      <c r="G152" s="1328">
        <v>10458519</v>
      </c>
      <c r="H152" s="281"/>
      <c r="I152" s="282" t="s">
        <v>364</v>
      </c>
      <c r="J152" s="187">
        <f>J69</f>
        <v>1</v>
      </c>
      <c r="K152" s="235"/>
      <c r="L152" s="283">
        <f>J152*G152</f>
        <v>10458519</v>
      </c>
      <c r="M152" s="235"/>
      <c r="N152" s="164"/>
      <c r="O152" s="164"/>
    </row>
    <row r="153" spans="2:15" ht="15">
      <c r="B153" s="189">
        <f>+B152+1</f>
        <v>84</v>
      </c>
      <c r="C153" s="167"/>
      <c r="D153" s="237" t="s">
        <v>437</v>
      </c>
      <c r="E153" s="280" t="s">
        <v>210</v>
      </c>
      <c r="F153" s="164"/>
      <c r="G153" s="1330">
        <v>189</v>
      </c>
      <c r="H153" s="199"/>
      <c r="I153" s="193" t="s">
        <v>433</v>
      </c>
      <c r="J153" s="187">
        <f>L217</f>
        <v>1</v>
      </c>
      <c r="K153" s="164"/>
      <c r="L153" s="252">
        <f>+J153*G153</f>
        <v>189</v>
      </c>
      <c r="M153" s="164"/>
      <c r="N153" s="182"/>
      <c r="O153" s="164"/>
    </row>
    <row r="154" spans="2:15" ht="15.75" thickBot="1">
      <c r="B154" s="189">
        <f>+B153+1</f>
        <v>85</v>
      </c>
      <c r="C154" s="167"/>
      <c r="D154" s="237" t="s">
        <v>438</v>
      </c>
      <c r="E154" s="231" t="s">
        <v>211</v>
      </c>
      <c r="F154" s="182"/>
      <c r="G154" s="1329">
        <v>797411</v>
      </c>
      <c r="H154" s="199"/>
      <c r="I154" s="193" t="s">
        <v>433</v>
      </c>
      <c r="J154" s="187">
        <f>L217</f>
        <v>1</v>
      </c>
      <c r="K154" s="164"/>
      <c r="L154" s="261">
        <f>+J154*G154</f>
        <v>797411</v>
      </c>
      <c r="M154" s="164"/>
      <c r="N154" s="182"/>
      <c r="O154" s="164"/>
    </row>
    <row r="155" spans="2:15" ht="15" customHeight="1">
      <c r="B155" s="166">
        <f>+B154+1</f>
        <v>86</v>
      </c>
      <c r="C155" s="167"/>
      <c r="D155" s="237" t="s">
        <v>105</v>
      </c>
      <c r="E155" s="284" t="str">
        <f>"(Ln "&amp;B152&amp;"+"&amp;B153&amp;"+"&amp;B154&amp;")"</f>
        <v>(Ln 83+84+85)</v>
      </c>
      <c r="F155" s="164"/>
      <c r="G155" s="199">
        <f>+G152+G153+G154</f>
        <v>11256119</v>
      </c>
      <c r="H155" s="182"/>
      <c r="I155" s="193"/>
      <c r="J155" s="164"/>
      <c r="K155" s="164"/>
      <c r="L155" s="199">
        <f>+L152+L153+L154</f>
        <v>11256119</v>
      </c>
      <c r="M155" s="164"/>
      <c r="N155" s="164"/>
      <c r="O155" s="164"/>
    </row>
    <row r="156" spans="2:15" ht="15">
      <c r="B156" s="166"/>
      <c r="C156" s="167"/>
      <c r="D156" s="237"/>
      <c r="E156" s="285"/>
      <c r="F156" s="164"/>
      <c r="G156" s="252"/>
      <c r="H156" s="182"/>
      <c r="I156" s="193"/>
      <c r="J156" s="164"/>
      <c r="K156" s="164"/>
      <c r="L156" s="252"/>
      <c r="M156" s="164"/>
      <c r="N156" s="164"/>
      <c r="O156" s="164"/>
    </row>
    <row r="157" spans="2:15" ht="15">
      <c r="B157" s="166">
        <f>+B155+1</f>
        <v>87</v>
      </c>
      <c r="C157" s="167"/>
      <c r="D157" s="237" t="s">
        <v>368</v>
      </c>
      <c r="E157" s="157" t="s">
        <v>212</v>
      </c>
      <c r="G157" s="252"/>
      <c r="H157" s="182"/>
      <c r="I157" s="193"/>
      <c r="J157" s="164"/>
      <c r="K157" s="164"/>
      <c r="L157" s="252"/>
      <c r="M157" s="164"/>
      <c r="N157" s="286"/>
      <c r="O157" s="164"/>
    </row>
    <row r="158" spans="2:15" ht="15">
      <c r="B158" s="166">
        <f aca="true" t="shared" si="5" ref="B158:B163">+B157+1</f>
        <v>88</v>
      </c>
      <c r="C158" s="167"/>
      <c r="D158" s="237" t="s">
        <v>439</v>
      </c>
      <c r="G158" s="252"/>
      <c r="H158" s="182"/>
      <c r="I158" s="193"/>
      <c r="K158" s="164"/>
      <c r="L158" s="252"/>
      <c r="M158" s="164"/>
      <c r="N158" s="164"/>
      <c r="O158" s="164"/>
    </row>
    <row r="159" spans="2:15" ht="15">
      <c r="B159" s="166">
        <f t="shared" si="5"/>
        <v>89</v>
      </c>
      <c r="C159" s="167"/>
      <c r="D159" s="237" t="s">
        <v>440</v>
      </c>
      <c r="E159" s="182" t="str">
        <f>"Worksheet H ln "&amp;'WS H-p1 Other Taxes'!A41&amp;"."&amp;'WS H-p1 Other Taxes'!I8&amp;""</f>
        <v>Worksheet H ln 23.(D)</v>
      </c>
      <c r="F159" s="164"/>
      <c r="G159" s="199">
        <f>+'WS H-p1 Other Taxes'!I41</f>
        <v>0</v>
      </c>
      <c r="H159" s="199"/>
      <c r="I159" s="193" t="s">
        <v>433</v>
      </c>
      <c r="J159" s="187">
        <f>L217</f>
        <v>1</v>
      </c>
      <c r="K159" s="164"/>
      <c r="L159" s="252">
        <f>+J159*G159</f>
        <v>0</v>
      </c>
      <c r="M159" s="257"/>
      <c r="N159" s="164"/>
      <c r="O159" s="164"/>
    </row>
    <row r="160" spans="2:15" ht="15">
      <c r="B160" s="166">
        <f t="shared" si="5"/>
        <v>90</v>
      </c>
      <c r="C160" s="167"/>
      <c r="D160" s="237" t="s">
        <v>441</v>
      </c>
      <c r="E160" s="182" t="s">
        <v>417</v>
      </c>
      <c r="F160" s="164"/>
      <c r="G160" s="199"/>
      <c r="H160" s="199"/>
      <c r="I160" s="193"/>
      <c r="K160" s="164"/>
      <c r="L160" s="252"/>
      <c r="M160" s="182"/>
      <c r="N160" s="164"/>
      <c r="O160" s="164"/>
    </row>
    <row r="161" spans="2:15" ht="15">
      <c r="B161" s="189">
        <f t="shared" si="5"/>
        <v>91</v>
      </c>
      <c r="C161" s="190"/>
      <c r="D161" s="236" t="s">
        <v>442</v>
      </c>
      <c r="E161" s="182" t="str">
        <f>"Worksheet H-p2 ln "&amp;'WS H-p2 Detail of Tax Amts'!A20&amp;"."&amp;'WS H-p2 Detail of Tax Amts'!E17&amp;" &amp; ln "&amp;'WS H-p2 Detail of Tax Amts'!A20&amp;"."&amp;'WS H-p2 Detail of Tax Amts'!I17&amp;""</f>
        <v>Worksheet H-p2 ln 3.(C) &amp; ln 3.(G)</v>
      </c>
      <c r="F161" s="182"/>
      <c r="G161" s="199">
        <f>'WS H-p2 Detail of Tax Amts'!E20</f>
        <v>2752076</v>
      </c>
      <c r="H161" s="199"/>
      <c r="I161" s="186" t="s">
        <v>431</v>
      </c>
      <c r="J161" s="187">
        <v>1</v>
      </c>
      <c r="K161" s="182"/>
      <c r="L161" s="199">
        <f>'WS H-p2 Detail of Tax Amts'!I20</f>
        <v>2752076</v>
      </c>
      <c r="M161" s="287"/>
      <c r="N161" s="286"/>
      <c r="O161" s="182"/>
    </row>
    <row r="162" spans="2:15" ht="15">
      <c r="B162" s="166">
        <f t="shared" si="5"/>
        <v>92</v>
      </c>
      <c r="C162" s="167"/>
      <c r="D162" s="237" t="s">
        <v>493</v>
      </c>
      <c r="E162" s="182" t="str">
        <f>"Worksheet H ln "&amp;'WS H-p1 Other Taxes'!A41&amp;"."&amp;'WS H-p1 Other Taxes'!M8&amp;""</f>
        <v>Worksheet H ln 23.(F)</v>
      </c>
      <c r="F162" s="164"/>
      <c r="G162" s="199">
        <f>+'WS H-p1 Other Taxes'!M41</f>
        <v>-1</v>
      </c>
      <c r="H162" s="258"/>
      <c r="I162" s="193" t="s">
        <v>429</v>
      </c>
      <c r="J162" s="187">
        <v>0</v>
      </c>
      <c r="K162" s="164"/>
      <c r="L162" s="252">
        <f>+J162*G162</f>
        <v>0</v>
      </c>
      <c r="M162" s="182"/>
      <c r="N162" s="164"/>
      <c r="O162" s="164"/>
    </row>
    <row r="163" spans="2:15" ht="15.75" thickBot="1">
      <c r="B163" s="166">
        <f t="shared" si="5"/>
        <v>93</v>
      </c>
      <c r="C163" s="167"/>
      <c r="D163" s="237" t="s">
        <v>443</v>
      </c>
      <c r="E163" s="182" t="str">
        <f>"Worksheet H ln "&amp;'WS H-p1 Other Taxes'!A41&amp;"."&amp;'WS H-p1 Other Taxes'!K8&amp;""</f>
        <v>Worksheet H ln 23.(E)</v>
      </c>
      <c r="F163" s="164"/>
      <c r="G163" s="238">
        <f>+'WS H-p1 Other Taxes'!K41</f>
        <v>-910</v>
      </c>
      <c r="H163" s="258"/>
      <c r="I163" s="193" t="s">
        <v>774</v>
      </c>
      <c r="J163" s="187">
        <f>J66</f>
        <v>1</v>
      </c>
      <c r="K163" s="164"/>
      <c r="L163" s="261">
        <f>+J163*G163</f>
        <v>-910</v>
      </c>
      <c r="M163" s="182"/>
      <c r="N163" s="164"/>
      <c r="O163" s="164"/>
    </row>
    <row r="164" spans="2:15" ht="15">
      <c r="B164" s="166">
        <f>+B163+1</f>
        <v>94</v>
      </c>
      <c r="C164" s="167"/>
      <c r="D164" s="237" t="s">
        <v>369</v>
      </c>
      <c r="E164" s="192" t="str">
        <f>"(sum lns "&amp;B159&amp;" to "&amp;B163&amp;")"</f>
        <v>(sum lns 89 to 93)</v>
      </c>
      <c r="F164" s="164"/>
      <c r="G164" s="199">
        <f>SUM(G159:G163)</f>
        <v>2751165</v>
      </c>
      <c r="H164" s="182"/>
      <c r="I164" s="193"/>
      <c r="J164" s="288"/>
      <c r="K164" s="164"/>
      <c r="L164" s="252">
        <f>SUM(L159:L163)</f>
        <v>2751166</v>
      </c>
      <c r="M164" s="164"/>
      <c r="N164" s="164"/>
      <c r="O164" s="164"/>
    </row>
    <row r="165" spans="2:15" ht="15">
      <c r="B165" s="166"/>
      <c r="C165" s="167"/>
      <c r="D165" s="237"/>
      <c r="E165" s="164"/>
      <c r="F165" s="164"/>
      <c r="G165" s="164"/>
      <c r="H165" s="182"/>
      <c r="I165" s="193"/>
      <c r="J165" s="288"/>
      <c r="K165" s="164"/>
      <c r="L165" s="164"/>
      <c r="M165" s="289"/>
      <c r="N165" s="164"/>
      <c r="O165" s="164"/>
    </row>
    <row r="166" spans="2:15" ht="15">
      <c r="B166" s="166">
        <f>+B164+1</f>
        <v>95</v>
      </c>
      <c r="C166" s="167"/>
      <c r="D166" s="237" t="s">
        <v>140</v>
      </c>
      <c r="E166" s="182" t="s">
        <v>213</v>
      </c>
      <c r="F166" s="290"/>
      <c r="G166" s="164"/>
      <c r="H166" s="205"/>
      <c r="I166" s="266"/>
      <c r="K166" s="164"/>
      <c r="L166" s="291"/>
      <c r="M166" s="164"/>
      <c r="N166" s="164"/>
      <c r="O166" s="164"/>
    </row>
    <row r="167" spans="2:15" ht="15">
      <c r="B167" s="166">
        <f aca="true" t="shared" si="6" ref="B167:B172">+B166+1</f>
        <v>96</v>
      </c>
      <c r="C167" s="167"/>
      <c r="D167" s="292" t="s">
        <v>141</v>
      </c>
      <c r="E167" s="164"/>
      <c r="F167" s="293"/>
      <c r="G167" s="294">
        <f>IF(F337&gt;0,1-(((1-F338)*(1-F337))/(1-F338*F337*F339)),0)</f>
        <v>0.39225</v>
      </c>
      <c r="H167" s="295"/>
      <c r="I167" s="295"/>
      <c r="K167" s="296"/>
      <c r="L167" s="291"/>
      <c r="M167" s="164"/>
      <c r="N167" s="164"/>
      <c r="O167" s="164"/>
    </row>
    <row r="168" spans="2:15" ht="15">
      <c r="B168" s="166">
        <f t="shared" si="6"/>
        <v>97</v>
      </c>
      <c r="C168" s="167"/>
      <c r="D168" s="256" t="s">
        <v>142</v>
      </c>
      <c r="E168" s="164"/>
      <c r="F168" s="293"/>
      <c r="G168" s="294">
        <f>IF(L231&gt;0,($G167/(1-$G167))*(1-$L231/$L234),0)</f>
        <v>0.4969783661924917</v>
      </c>
      <c r="H168" s="295"/>
      <c r="I168" s="295"/>
      <c r="K168" s="296"/>
      <c r="L168" s="291"/>
      <c r="M168" s="164"/>
      <c r="N168" s="164"/>
      <c r="O168" s="164"/>
    </row>
    <row r="169" spans="2:15" ht="15">
      <c r="B169" s="166">
        <f t="shared" si="6"/>
        <v>98</v>
      </c>
      <c r="C169" s="167"/>
      <c r="D169" s="236" t="str">
        <f>"       where WCLTD=(ln "&amp;B231&amp;") and WACC = (ln "&amp;B234&amp;")"</f>
        <v>       where WCLTD=(ln 136) and WACC = (ln 139)</v>
      </c>
      <c r="E169" s="182"/>
      <c r="F169" s="297"/>
      <c r="G169" s="164"/>
      <c r="H169" s="295"/>
      <c r="I169" s="295"/>
      <c r="J169" s="298"/>
      <c r="K169" s="296"/>
      <c r="L169" s="299"/>
      <c r="M169" s="164"/>
      <c r="N169" s="164"/>
      <c r="O169" s="164"/>
    </row>
    <row r="170" spans="2:15" ht="15">
      <c r="B170" s="166">
        <f t="shared" si="6"/>
        <v>99</v>
      </c>
      <c r="C170" s="167"/>
      <c r="D170" s="237" t="s">
        <v>214</v>
      </c>
      <c r="E170" s="300"/>
      <c r="F170" s="293"/>
      <c r="G170" s="164"/>
      <c r="H170" s="205"/>
      <c r="I170" s="266"/>
      <c r="J170" s="298"/>
      <c r="K170" s="296"/>
      <c r="L170" s="291"/>
      <c r="M170" s="164"/>
      <c r="N170" s="164"/>
      <c r="O170" s="164"/>
    </row>
    <row r="171" spans="2:15" ht="15">
      <c r="B171" s="166">
        <f t="shared" si="6"/>
        <v>100</v>
      </c>
      <c r="C171" s="167"/>
      <c r="D171" s="301" t="str">
        <f>"      GRCF=1 / (1 - T)  = (from ln "&amp;B167&amp;")"</f>
        <v>      GRCF=1 / (1 - T)  = (from ln 96)</v>
      </c>
      <c r="E171" s="290"/>
      <c r="F171" s="290"/>
      <c r="G171" s="302">
        <f>IF(G167&gt;0,1/(1-G167),0)</f>
        <v>1.6454134101192925</v>
      </c>
      <c r="H171" s="205"/>
      <c r="I171" s="209"/>
      <c r="J171" s="303"/>
      <c r="K171" s="304"/>
      <c r="L171" s="305"/>
      <c r="M171" s="164"/>
      <c r="N171" s="164"/>
      <c r="O171" s="164"/>
    </row>
    <row r="172" spans="2:15" ht="15">
      <c r="B172" s="166">
        <f t="shared" si="6"/>
        <v>101</v>
      </c>
      <c r="C172" s="167"/>
      <c r="D172" s="236" t="s">
        <v>143</v>
      </c>
      <c r="E172" s="247" t="s">
        <v>301</v>
      </c>
      <c r="F172" s="297"/>
      <c r="G172" s="1331">
        <v>0</v>
      </c>
      <c r="H172" s="341"/>
      <c r="I172" s="277"/>
      <c r="J172" s="1236"/>
      <c r="K172" s="199"/>
      <c r="L172" s="157"/>
      <c r="M172" s="193"/>
      <c r="N172" s="164"/>
      <c r="O172" s="164"/>
    </row>
    <row r="173" spans="2:15" ht="15">
      <c r="B173" s="166">
        <f aca="true" t="shared" si="7" ref="B173:B179">+B172+1</f>
        <v>102</v>
      </c>
      <c r="C173" s="167"/>
      <c r="D173" s="236" t="s">
        <v>562</v>
      </c>
      <c r="E173" s="182" t="s">
        <v>775</v>
      </c>
      <c r="F173" s="1229"/>
      <c r="G173" s="1388">
        <v>0</v>
      </c>
      <c r="H173" s="341"/>
      <c r="I173" s="309" t="s">
        <v>651</v>
      </c>
      <c r="J173" s="187">
        <f>NP_h</f>
        <v>1</v>
      </c>
      <c r="K173" s="199"/>
      <c r="L173" s="185">
        <f>+G173*J173</f>
        <v>0</v>
      </c>
      <c r="M173" s="164"/>
      <c r="N173" s="164"/>
      <c r="O173" s="164"/>
    </row>
    <row r="174" spans="2:15" ht="15">
      <c r="B174" s="166">
        <f t="shared" si="7"/>
        <v>103</v>
      </c>
      <c r="C174" s="167"/>
      <c r="D174" s="236" t="s">
        <v>650</v>
      </c>
      <c r="E174" s="182" t="s">
        <v>775</v>
      </c>
      <c r="F174" s="1229"/>
      <c r="G174" s="1388">
        <v>135100</v>
      </c>
      <c r="H174" s="341"/>
      <c r="I174" s="309" t="s">
        <v>651</v>
      </c>
      <c r="J174" s="187">
        <f>NP_h</f>
        <v>1</v>
      </c>
      <c r="K174" s="199"/>
      <c r="L174" s="185">
        <f>+G174*J174</f>
        <v>135100</v>
      </c>
      <c r="M174" s="164"/>
      <c r="N174" s="164"/>
      <c r="O174" s="164"/>
    </row>
    <row r="175" spans="2:15" ht="15">
      <c r="B175" s="166">
        <f t="shared" si="7"/>
        <v>104</v>
      </c>
      <c r="C175" s="167"/>
      <c r="D175" s="301" t="s">
        <v>144</v>
      </c>
      <c r="E175" s="306" t="str">
        <f>"(ln "&amp;B168&amp;" * ln "&amp;B181&amp;")"</f>
        <v>(ln 97 * ln 109)</v>
      </c>
      <c r="F175" s="307"/>
      <c r="G175" s="199">
        <f>+G168*G181</f>
        <v>19422978.21967984</v>
      </c>
      <c r="H175" s="341"/>
      <c r="I175" s="277"/>
      <c r="J175" s="1230"/>
      <c r="K175" s="199"/>
      <c r="L175" s="199">
        <f>+L181*G168</f>
        <v>19422978.21967984</v>
      </c>
      <c r="M175" s="164"/>
      <c r="N175" s="164"/>
      <c r="O175" s="164"/>
    </row>
    <row r="176" spans="2:15" ht="15">
      <c r="B176" s="166">
        <f t="shared" si="7"/>
        <v>105</v>
      </c>
      <c r="C176" s="167"/>
      <c r="D176" s="321" t="s">
        <v>145</v>
      </c>
      <c r="E176" s="306" t="str">
        <f>"(ln "&amp;B171&amp;" * ln "&amp;B172&amp;")"</f>
        <v>(ln 100 * ln 101)</v>
      </c>
      <c r="F176" s="306"/>
      <c r="G176" s="185">
        <f>G171*G172</f>
        <v>0</v>
      </c>
      <c r="H176" s="341"/>
      <c r="I176" s="309" t="s">
        <v>651</v>
      </c>
      <c r="J176" s="187">
        <f>NP_h</f>
        <v>1</v>
      </c>
      <c r="K176" s="199"/>
      <c r="L176" s="185">
        <f>+G176*J176</f>
        <v>0</v>
      </c>
      <c r="M176" s="164"/>
      <c r="N176" s="164"/>
      <c r="O176" s="164"/>
    </row>
    <row r="177" spans="2:15" ht="15">
      <c r="B177" s="166">
        <f t="shared" si="7"/>
        <v>106</v>
      </c>
      <c r="C177" s="167"/>
      <c r="D177" s="321" t="s">
        <v>562</v>
      </c>
      <c r="E177" s="306" t="str">
        <f>"(ln "&amp;B171&amp;" * ln "&amp;B173&amp;")"</f>
        <v>(ln 100 * ln 102)</v>
      </c>
      <c r="F177" s="306"/>
      <c r="G177" s="185">
        <f>G171*G173</f>
        <v>0</v>
      </c>
      <c r="H177" s="341"/>
      <c r="I177" s="309"/>
      <c r="J177" s="187"/>
      <c r="K177" s="199"/>
      <c r="L177" s="185">
        <f>G171*L173</f>
        <v>0</v>
      </c>
      <c r="M177" s="164"/>
      <c r="N177" s="164"/>
      <c r="O177" s="164"/>
    </row>
    <row r="178" spans="2:15" ht="15">
      <c r="B178" s="166">
        <f t="shared" si="7"/>
        <v>107</v>
      </c>
      <c r="C178" s="167"/>
      <c r="D178" s="236" t="s">
        <v>650</v>
      </c>
      <c r="E178" s="306" t="str">
        <f>"(ln "&amp;B171&amp;" * ln "&amp;B174&amp;")"</f>
        <v>(ln 100 * ln 103)</v>
      </c>
      <c r="F178" s="306"/>
      <c r="G178" s="1231">
        <f>G171*G174</f>
        <v>222295.3517071164</v>
      </c>
      <c r="H178" s="341"/>
      <c r="I178" s="309"/>
      <c r="J178" s="187"/>
      <c r="K178" s="199"/>
      <c r="L178" s="1231">
        <f>G171*L174</f>
        <v>222295.3517071164</v>
      </c>
      <c r="M178" s="164"/>
      <c r="N178" s="164"/>
      <c r="O178" s="164"/>
    </row>
    <row r="179" spans="2:15" ht="15">
      <c r="B179" s="189">
        <f t="shared" si="7"/>
        <v>108</v>
      </c>
      <c r="C179" s="167"/>
      <c r="D179" s="292" t="s">
        <v>370</v>
      </c>
      <c r="E179" s="164" t="str">
        <f>"(sum lns "&amp;B175&amp;" to "&amp;B178&amp;")"</f>
        <v>(sum lns 104 to 107)</v>
      </c>
      <c r="F179" s="306"/>
      <c r="G179" s="309">
        <f>SUM(G175:G178)</f>
        <v>19645273.571386956</v>
      </c>
      <c r="H179" s="205"/>
      <c r="I179" s="209" t="s">
        <v>417</v>
      </c>
      <c r="J179" s="310"/>
      <c r="K179" s="252"/>
      <c r="L179" s="309">
        <f>SUM(L175:L178)</f>
        <v>19645273.571386956</v>
      </c>
      <c r="M179" s="164"/>
      <c r="N179" s="164"/>
      <c r="O179" s="164"/>
    </row>
    <row r="180" spans="2:15" ht="15">
      <c r="B180" s="189"/>
      <c r="C180" s="167"/>
      <c r="D180" s="292"/>
      <c r="E180" s="164"/>
      <c r="F180" s="306"/>
      <c r="G180" s="309"/>
      <c r="H180" s="205"/>
      <c r="I180" s="209"/>
      <c r="J180" s="310"/>
      <c r="K180" s="252"/>
      <c r="L180" s="309"/>
      <c r="M180" s="164"/>
      <c r="N180" s="164"/>
      <c r="O180" s="164"/>
    </row>
    <row r="181" spans="2:15" ht="15">
      <c r="B181" s="189">
        <f>+B179+1</f>
        <v>109</v>
      </c>
      <c r="C181" s="167"/>
      <c r="D181" s="301" t="s">
        <v>492</v>
      </c>
      <c r="E181" s="301" t="str">
        <f>"(ln "&amp;B110&amp;" * ln "&amp;B234&amp;")"</f>
        <v>(ln 58 * ln 139)</v>
      </c>
      <c r="F181" s="263"/>
      <c r="G181" s="311">
        <f>+$L234*G110</f>
        <v>39082140.27199094</v>
      </c>
      <c r="H181" s="182"/>
      <c r="I181" s="209"/>
      <c r="J181" s="252"/>
      <c r="K181" s="252"/>
      <c r="L181" s="311">
        <f>+L234*L110</f>
        <v>39082140.27199094</v>
      </c>
      <c r="M181" s="164"/>
      <c r="N181" s="291"/>
      <c r="O181" s="291"/>
    </row>
    <row r="182" spans="2:13" ht="15">
      <c r="B182" s="166"/>
      <c r="C182" s="167"/>
      <c r="D182" s="292"/>
      <c r="G182" s="252"/>
      <c r="H182" s="252"/>
      <c r="I182" s="209"/>
      <c r="J182" s="209"/>
      <c r="K182" s="252"/>
      <c r="L182" s="252"/>
      <c r="M182" s="164"/>
    </row>
    <row r="183" spans="2:13" ht="15">
      <c r="B183" s="166">
        <f>+B181+1</f>
        <v>110</v>
      </c>
      <c r="C183" s="167"/>
      <c r="D183" s="312" t="s">
        <v>401</v>
      </c>
      <c r="F183" s="280"/>
      <c r="G183" s="199">
        <f>-'WS D IPP Credits'!C11</f>
        <v>0</v>
      </c>
      <c r="H183" s="199"/>
      <c r="I183" s="260" t="s">
        <v>431</v>
      </c>
      <c r="J183" s="187">
        <v>1</v>
      </c>
      <c r="K183" s="283"/>
      <c r="L183" s="252">
        <f>+J183*G183</f>
        <v>0</v>
      </c>
      <c r="M183" s="235"/>
    </row>
    <row r="184" spans="2:13" ht="15">
      <c r="B184" s="166"/>
      <c r="C184" s="167"/>
      <c r="D184" s="312"/>
      <c r="F184" s="280"/>
      <c r="G184" s="199"/>
      <c r="H184" s="199"/>
      <c r="I184" s="260"/>
      <c r="J184" s="187"/>
      <c r="K184" s="283"/>
      <c r="L184" s="252"/>
      <c r="M184" s="235"/>
    </row>
    <row r="185" spans="2:13" ht="15">
      <c r="B185" s="166">
        <f>+B183+1</f>
        <v>111</v>
      </c>
      <c r="C185" s="167"/>
      <c r="D185" s="312" t="str">
        <f>"(Gains) / Losses on Sales of Plant Held for Future Use (Worksheet N, ln "&amp;'WS N - Sale of Plant Held'!A31&amp;", Cols. ("&amp;'WS N - Sale of Plant Held'!O10&amp;" &amp; "&amp;'WS N - Sale of Plant Held'!S10&amp;")"</f>
        <v>(Gains) / Losses on Sales of Plant Held for Future Use (Worksheet N, ln 4, Cols. ((F) &amp; (H))</v>
      </c>
      <c r="E185" s="157"/>
      <c r="F185" s="231"/>
      <c r="G185" s="199">
        <f>+'WS N - Sale of Plant Held'!O31</f>
        <v>0</v>
      </c>
      <c r="H185" s="199"/>
      <c r="I185" s="313"/>
      <c r="J185" s="187"/>
      <c r="K185" s="234"/>
      <c r="L185" s="199">
        <f>'WS N - Sale of Plant Held'!S31</f>
        <v>0</v>
      </c>
      <c r="M185" s="233"/>
    </row>
    <row r="186" spans="2:13" ht="15">
      <c r="B186" s="166"/>
      <c r="C186" s="167"/>
      <c r="D186" s="312"/>
      <c r="E186" s="157"/>
      <c r="F186" s="231"/>
      <c r="G186" s="199"/>
      <c r="H186" s="199"/>
      <c r="I186" s="313"/>
      <c r="J186" s="187"/>
      <c r="K186" s="234"/>
      <c r="L186" s="199"/>
      <c r="M186" s="233"/>
    </row>
    <row r="187" spans="2:13" ht="15">
      <c r="B187" s="166">
        <f>+B185+1</f>
        <v>112</v>
      </c>
      <c r="C187" s="167"/>
      <c r="D187" s="312" t="str">
        <f>" Tax Impact on Net Loss / (Gain) on Sales of Plant Held for Future Use (ln "&amp;B185&amp;" * ln"&amp;B168&amp;")"</f>
        <v> Tax Impact on Net Loss / (Gain) on Sales of Plant Held for Future Use (ln 111 * ln97)</v>
      </c>
      <c r="E187" s="157"/>
      <c r="F187" s="231"/>
      <c r="G187" s="199">
        <f>-+G168*G185</f>
        <v>0</v>
      </c>
      <c r="H187" s="199"/>
      <c r="I187" s="313"/>
      <c r="J187" s="187"/>
      <c r="K187" s="234"/>
      <c r="L187" s="199">
        <f>L185*-G168</f>
        <v>0</v>
      </c>
      <c r="M187" s="233"/>
    </row>
    <row r="188" spans="2:13" ht="15.75" thickBot="1">
      <c r="B188" s="166"/>
      <c r="C188" s="167"/>
      <c r="D188" s="237"/>
      <c r="G188" s="261"/>
      <c r="H188" s="314"/>
      <c r="I188" s="209"/>
      <c r="J188" s="209"/>
      <c r="K188" s="252"/>
      <c r="L188" s="261"/>
      <c r="M188" s="164"/>
    </row>
    <row r="189" spans="2:13" ht="15.75" thickBot="1">
      <c r="B189" s="166">
        <f>+B187+1</f>
        <v>113</v>
      </c>
      <c r="C189" s="167"/>
      <c r="D189" s="152" t="s">
        <v>48</v>
      </c>
      <c r="G189" s="315">
        <f>+G183+G181+G179+G164+G155+G149+G185+G187</f>
        <v>83050621.25153789</v>
      </c>
      <c r="L189" s="315">
        <f>+L183+L181+L179+L164+L155+L149+L185+L187</f>
        <v>83050622.25153789</v>
      </c>
      <c r="M189" s="164"/>
    </row>
    <row r="190" spans="2:13" ht="15.75" thickTop="1">
      <c r="B190" s="166"/>
      <c r="C190" s="167"/>
      <c r="D190" s="158" t="str">
        <f>"    (sum lns "&amp;B149&amp;", "&amp;B155&amp;", "&amp;B164&amp;", "&amp;B179&amp;", "&amp;B181&amp;", "&amp;B183&amp;", "&amp;B185&amp;", "&amp;B187&amp;")"</f>
        <v>    (sum lns 81, 86, 94, 108, 109, 110, 111, 112)</v>
      </c>
      <c r="F190" s="316"/>
      <c r="M190" s="164"/>
    </row>
    <row r="191" spans="2:13" ht="15">
      <c r="B191" s="166"/>
      <c r="C191" s="167"/>
      <c r="F191" s="316"/>
      <c r="M191" s="164"/>
    </row>
    <row r="192" spans="2:13" ht="15">
      <c r="B192" s="166"/>
      <c r="C192" s="167"/>
      <c r="D192" s="158"/>
      <c r="F192" s="266" t="str">
        <f>F113</f>
        <v>AEPTCo subsidiaries in PJM</v>
      </c>
      <c r="M192" s="265"/>
    </row>
    <row r="193" spans="2:13" ht="15">
      <c r="B193" s="166"/>
      <c r="C193" s="167"/>
      <c r="D193" s="158"/>
      <c r="F193" s="266" t="str">
        <f>F114</f>
        <v>Transmission Cost of Service Formula Rate</v>
      </c>
      <c r="M193" s="265"/>
    </row>
    <row r="194" spans="2:13" ht="15">
      <c r="B194" s="152"/>
      <c r="C194" s="167"/>
      <c r="F194" s="266" t="str">
        <f>F115</f>
        <v>Utilizing  Actual/Projected FERC Form 1 Data</v>
      </c>
      <c r="M194" s="215"/>
    </row>
    <row r="195" spans="2:13" ht="15">
      <c r="B195" s="166"/>
      <c r="C195" s="167"/>
      <c r="E195" s="266"/>
      <c r="F195" s="266"/>
      <c r="G195" s="266"/>
      <c r="H195" s="266"/>
      <c r="I195" s="266"/>
      <c r="J195" s="266"/>
      <c r="K195" s="266"/>
      <c r="M195" s="164"/>
    </row>
    <row r="196" spans="2:13" ht="15">
      <c r="B196" s="166"/>
      <c r="C196" s="167"/>
      <c r="E196" s="158"/>
      <c r="F196" s="266" t="str">
        <f>F117</f>
        <v>AEP WEST VIRGINIA TRANSMISSION COMPANY</v>
      </c>
      <c r="G196" s="158"/>
      <c r="H196" s="158"/>
      <c r="I196" s="158"/>
      <c r="J196" s="158"/>
      <c r="K196" s="158"/>
      <c r="L196" s="158"/>
      <c r="M196" s="158"/>
    </row>
    <row r="197" spans="2:13" ht="15">
      <c r="B197" s="166"/>
      <c r="C197" s="167"/>
      <c r="E197" s="158"/>
      <c r="F197" s="266"/>
      <c r="G197" s="158"/>
      <c r="H197" s="158"/>
      <c r="I197" s="158"/>
      <c r="J197" s="158"/>
      <c r="K197" s="158"/>
      <c r="L197" s="158"/>
      <c r="M197" s="158"/>
    </row>
    <row r="198" spans="2:13" ht="15.75">
      <c r="B198" s="166"/>
      <c r="C198" s="167"/>
      <c r="F198" s="269" t="s">
        <v>375</v>
      </c>
      <c r="H198" s="161"/>
      <c r="I198" s="161"/>
      <c r="J198" s="161"/>
      <c r="K198" s="161"/>
      <c r="L198" s="161"/>
      <c r="M198" s="164"/>
    </row>
    <row r="199" spans="2:13" ht="15.75">
      <c r="B199" s="166"/>
      <c r="C199" s="167"/>
      <c r="D199" s="317"/>
      <c r="E199" s="161"/>
      <c r="F199" s="161"/>
      <c r="G199" s="161"/>
      <c r="H199" s="161"/>
      <c r="I199" s="161"/>
      <c r="J199" s="161"/>
      <c r="K199" s="161"/>
      <c r="L199" s="161"/>
      <c r="M199" s="164"/>
    </row>
    <row r="200" spans="2:15" ht="15.75">
      <c r="B200" s="166" t="s">
        <v>419</v>
      </c>
      <c r="C200" s="167"/>
      <c r="D200" s="317"/>
      <c r="E200" s="161"/>
      <c r="F200" s="161"/>
      <c r="G200" s="161"/>
      <c r="H200" s="161"/>
      <c r="I200" s="161"/>
      <c r="J200" s="161"/>
      <c r="K200" s="161"/>
      <c r="L200" s="161"/>
      <c r="M200" s="164"/>
      <c r="N200" s="157"/>
      <c r="O200" s="157"/>
    </row>
    <row r="201" spans="2:16" ht="15.75" thickBot="1">
      <c r="B201" s="173" t="s">
        <v>420</v>
      </c>
      <c r="C201" s="174"/>
      <c r="D201" s="201" t="s">
        <v>513</v>
      </c>
      <c r="E201" s="177"/>
      <c r="F201" s="177"/>
      <c r="G201" s="177"/>
      <c r="H201" s="177"/>
      <c r="I201" s="177"/>
      <c r="J201" s="177"/>
      <c r="K201" s="157"/>
      <c r="M201" s="164"/>
      <c r="N201" s="157"/>
      <c r="O201" s="157"/>
      <c r="P201" s="169"/>
    </row>
    <row r="202" spans="2:16" ht="15">
      <c r="B202" s="166">
        <f>+B189+1</f>
        <v>114</v>
      </c>
      <c r="C202" s="167"/>
      <c r="D202" s="177" t="s">
        <v>467</v>
      </c>
      <c r="E202" s="318" t="str">
        <f>"(ln "&amp;B61&amp;")"</f>
        <v>(ln 19)</v>
      </c>
      <c r="F202" s="319"/>
      <c r="H202" s="320"/>
      <c r="I202" s="320"/>
      <c r="J202" s="320"/>
      <c r="K202" s="320"/>
      <c r="L202" s="185">
        <f>+G61</f>
        <v>667559369.5</v>
      </c>
      <c r="M202" s="164"/>
      <c r="N202" s="157"/>
      <c r="O202" s="157"/>
      <c r="P202" s="169"/>
    </row>
    <row r="203" spans="2:16" ht="15">
      <c r="B203" s="166">
        <f>+B202+1</f>
        <v>115</v>
      </c>
      <c r="C203" s="167"/>
      <c r="D203" s="177" t="str">
        <f>"  Less transmission plant excluded from PJM Tariff  (Worksheet A, ln "&amp;'WS A - Rate Base Support'!A62&amp;"."&amp;'WS A - Rate Base Support'!E47&amp;") (Note P)"</f>
        <v>  Less transmission plant excluded from PJM Tariff  (Worksheet A, ln 42.(d)) (Note P)</v>
      </c>
      <c r="E203" s="321"/>
      <c r="F203" s="321"/>
      <c r="G203" s="322"/>
      <c r="H203" s="321"/>
      <c r="I203" s="321"/>
      <c r="J203" s="321"/>
      <c r="K203" s="321"/>
      <c r="L203" s="141"/>
      <c r="M203" s="164"/>
      <c r="P203" s="169"/>
    </row>
    <row r="204" spans="2:16" ht="36" customHeight="1" thickBot="1">
      <c r="B204" s="166">
        <f>+B203+1</f>
        <v>116</v>
      </c>
      <c r="C204" s="167"/>
      <c r="D204" s="319" t="str">
        <f>"  Less transmission plant included in OATT Ancillary Services (Worksheet A, ln "&amp;'WS A - Rate Base Support'!A62&amp;", Col. "&amp;'WS A - Rate Base Support'!C47&amp;")  (Note Q)"</f>
        <v>  Less transmission plant included in OATT Ancillary Services (Worksheet A, ln 42, Col. (b))  (Note Q)</v>
      </c>
      <c r="E204" s="319"/>
      <c r="F204" s="319"/>
      <c r="G204" s="227"/>
      <c r="H204" s="320"/>
      <c r="I204" s="320"/>
      <c r="J204" s="227"/>
      <c r="K204" s="320"/>
      <c r="L204" s="261">
        <f>'WS A - Rate Base Support'!C62</f>
        <v>0</v>
      </c>
      <c r="M204" s="164"/>
      <c r="P204" s="169"/>
    </row>
    <row r="205" spans="2:16" ht="15">
      <c r="B205" s="166">
        <f>+B204+1</f>
        <v>117</v>
      </c>
      <c r="C205" s="167"/>
      <c r="D205" s="177" t="s">
        <v>514</v>
      </c>
      <c r="E205" s="323" t="str">
        <f>"(ln "&amp;B202&amp;" - ln "&amp;B203&amp;" - ln "&amp;B204&amp;")"</f>
        <v>(ln 114 - ln 115 - ln 116)</v>
      </c>
      <c r="F205" s="319"/>
      <c r="H205" s="320"/>
      <c r="I205" s="320"/>
      <c r="J205" s="227"/>
      <c r="K205" s="320"/>
      <c r="L205" s="185">
        <f>L202-L203-L204</f>
        <v>667559369.5</v>
      </c>
      <c r="M205" s="164"/>
      <c r="P205" s="169"/>
    </row>
    <row r="206" spans="2:16" ht="9" customHeight="1">
      <c r="B206" s="166"/>
      <c r="C206" s="167"/>
      <c r="D206" s="157"/>
      <c r="E206" s="319"/>
      <c r="F206" s="319"/>
      <c r="G206" s="227"/>
      <c r="H206" s="320"/>
      <c r="I206" s="320"/>
      <c r="J206" s="227"/>
      <c r="K206" s="320"/>
      <c r="L206" s="321"/>
      <c r="M206" s="164"/>
      <c r="P206" s="169"/>
    </row>
    <row r="207" spans="2:16" ht="15.75" customHeight="1">
      <c r="B207" s="166">
        <f>+B205+1</f>
        <v>118</v>
      </c>
      <c r="C207" s="167"/>
      <c r="D207" s="177" t="s">
        <v>515</v>
      </c>
      <c r="E207" s="324" t="str">
        <f>"(ln "&amp;B205&amp;" / ln "&amp;B202&amp;")"</f>
        <v>(ln 117 / ln 114)</v>
      </c>
      <c r="F207" s="325"/>
      <c r="H207" s="326"/>
      <c r="I207" s="327"/>
      <c r="J207" s="327"/>
      <c r="K207" s="328" t="s">
        <v>444</v>
      </c>
      <c r="L207" s="329">
        <f>IF(L202=0,1,L205/L202)</f>
        <v>1</v>
      </c>
      <c r="M207" s="164"/>
      <c r="P207" s="169"/>
    </row>
    <row r="208" spans="2:13" ht="15.75">
      <c r="B208" s="166"/>
      <c r="C208" s="167"/>
      <c r="D208" s="330"/>
      <c r="E208" s="177"/>
      <c r="F208" s="177"/>
      <c r="G208" s="331"/>
      <c r="H208" s="177"/>
      <c r="I208" s="190"/>
      <c r="J208" s="177"/>
      <c r="K208" s="177"/>
      <c r="L208" s="161"/>
      <c r="M208" s="164"/>
    </row>
    <row r="209" spans="2:13" ht="30">
      <c r="B209" s="166">
        <f>B207+1</f>
        <v>119</v>
      </c>
      <c r="C209" s="190"/>
      <c r="D209" s="201" t="s">
        <v>376</v>
      </c>
      <c r="E209" s="186" t="s">
        <v>146</v>
      </c>
      <c r="F209" s="186" t="s">
        <v>485</v>
      </c>
      <c r="G209" s="332" t="s">
        <v>507</v>
      </c>
      <c r="H209" s="267" t="s">
        <v>421</v>
      </c>
      <c r="I209" s="193"/>
      <c r="J209" s="164"/>
      <c r="K209" s="164"/>
      <c r="L209" s="164"/>
      <c r="M209" s="164"/>
    </row>
    <row r="210" spans="2:13" ht="15">
      <c r="B210" s="166">
        <f aca="true" t="shared" si="8" ref="B210:B215">+B209+1</f>
        <v>120</v>
      </c>
      <c r="C210" s="190"/>
      <c r="D210" s="228" t="s">
        <v>321</v>
      </c>
      <c r="E210" s="182"/>
      <c r="F210" s="182"/>
      <c r="G210" s="199"/>
      <c r="H210" s="199"/>
      <c r="I210" s="186"/>
      <c r="J210" s="187"/>
      <c r="K210" s="182"/>
      <c r="L210" s="199"/>
      <c r="M210" s="164"/>
    </row>
    <row r="211" spans="2:13" ht="15">
      <c r="B211" s="166">
        <f t="shared" si="8"/>
        <v>121</v>
      </c>
      <c r="C211" s="190"/>
      <c r="D211" s="236" t="s">
        <v>430</v>
      </c>
      <c r="E211" s="182" t="s">
        <v>350</v>
      </c>
      <c r="F211" s="141">
        <v>0</v>
      </c>
      <c r="G211" s="1332">
        <v>3018694</v>
      </c>
      <c r="H211" s="333">
        <f>+F211+G211</f>
        <v>3018694</v>
      </c>
      <c r="I211" s="190" t="s">
        <v>423</v>
      </c>
      <c r="J211" s="187">
        <f>L207</f>
        <v>1</v>
      </c>
      <c r="K211" s="334"/>
      <c r="L211" s="252">
        <f>(F211+G211)*J211</f>
        <v>3018694</v>
      </c>
      <c r="M211" s="164"/>
    </row>
    <row r="212" spans="2:13" ht="15">
      <c r="B212" s="166">
        <f t="shared" si="8"/>
        <v>122</v>
      </c>
      <c r="C212" s="190"/>
      <c r="D212" s="236" t="s">
        <v>553</v>
      </c>
      <c r="E212" s="164" t="s">
        <v>263</v>
      </c>
      <c r="F212" s="141">
        <v>0</v>
      </c>
      <c r="G212" s="141">
        <v>0</v>
      </c>
      <c r="H212" s="252">
        <f>+F212+G212</f>
        <v>0</v>
      </c>
      <c r="I212" s="193" t="s">
        <v>429</v>
      </c>
      <c r="J212" s="187">
        <v>0</v>
      </c>
      <c r="K212" s="334"/>
      <c r="L212" s="252">
        <f>(F212+G212)*J212</f>
        <v>0</v>
      </c>
      <c r="M212" s="164"/>
    </row>
    <row r="213" spans="2:13" ht="15">
      <c r="B213" s="166">
        <f t="shared" si="8"/>
        <v>123</v>
      </c>
      <c r="C213" s="190"/>
      <c r="D213" s="228" t="s">
        <v>321</v>
      </c>
      <c r="E213" s="182"/>
      <c r="F213" s="182"/>
      <c r="G213" s="199"/>
      <c r="H213" s="199"/>
      <c r="I213" s="186"/>
      <c r="J213" s="187"/>
      <c r="K213" s="182"/>
      <c r="L213" s="199"/>
      <c r="M213" s="164"/>
    </row>
    <row r="214" spans="2:13" ht="15.75" thickBot="1">
      <c r="B214" s="166">
        <f t="shared" si="8"/>
        <v>124</v>
      </c>
      <c r="C214" s="190"/>
      <c r="D214" s="236" t="s">
        <v>494</v>
      </c>
      <c r="E214" s="164" t="s">
        <v>215</v>
      </c>
      <c r="F214" s="140">
        <v>0</v>
      </c>
      <c r="G214" s="140">
        <v>0</v>
      </c>
      <c r="H214" s="261">
        <f>+F214+G214</f>
        <v>0</v>
      </c>
      <c r="I214" s="193" t="s">
        <v>429</v>
      </c>
      <c r="J214" s="187">
        <v>0</v>
      </c>
      <c r="K214" s="334"/>
      <c r="L214" s="261">
        <f>(F214+G214)*J214</f>
        <v>0</v>
      </c>
      <c r="M214" s="164"/>
    </row>
    <row r="215" spans="2:13" ht="15.75">
      <c r="B215" s="166">
        <f t="shared" si="8"/>
        <v>125</v>
      </c>
      <c r="C215" s="190"/>
      <c r="D215" s="236" t="s">
        <v>421</v>
      </c>
      <c r="E215" s="182" t="str">
        <f>"(sum lns "&amp;B211&amp;", "&amp;B212&amp;", &amp; "&amp;B214&amp;")"</f>
        <v>(sum lns 121, 122, &amp; 124)</v>
      </c>
      <c r="F215" s="252">
        <f>SUM(F210:F214)</f>
        <v>0</v>
      </c>
      <c r="G215" s="182">
        <f>SUM(G210:G214)</f>
        <v>3018694</v>
      </c>
      <c r="H215" s="182">
        <f>SUM(H210:H214)</f>
        <v>3018694</v>
      </c>
      <c r="I215" s="193"/>
      <c r="J215" s="164"/>
      <c r="K215" s="164"/>
      <c r="L215" s="252">
        <f>SUM(L210:L214)</f>
        <v>3018694</v>
      </c>
      <c r="M215" s="219"/>
    </row>
    <row r="216" spans="2:9" ht="15">
      <c r="B216" s="166"/>
      <c r="C216" s="190"/>
      <c r="D216" s="236" t="s">
        <v>417</v>
      </c>
      <c r="E216" s="182" t="s">
        <v>417</v>
      </c>
      <c r="F216" s="182"/>
      <c r="G216" s="157"/>
      <c r="H216" s="182"/>
      <c r="I216" s="266"/>
    </row>
    <row r="217" spans="2:12" ht="15.75">
      <c r="B217" s="166">
        <f>B215+1</f>
        <v>126</v>
      </c>
      <c r="C217" s="167"/>
      <c r="D217" s="237" t="s">
        <v>377</v>
      </c>
      <c r="E217" s="182"/>
      <c r="F217" s="182"/>
      <c r="G217" s="182"/>
      <c r="H217" s="182"/>
      <c r="I217" s="266"/>
      <c r="K217" s="335" t="s">
        <v>378</v>
      </c>
      <c r="L217" s="336">
        <f>L215/(F215+G215)</f>
        <v>1</v>
      </c>
    </row>
    <row r="218" spans="2:12" ht="15.75">
      <c r="B218" s="166"/>
      <c r="C218" s="167"/>
      <c r="D218" s="237"/>
      <c r="E218" s="182"/>
      <c r="F218" s="182"/>
      <c r="G218" s="182"/>
      <c r="H218" s="182"/>
      <c r="I218" s="266"/>
      <c r="K218" s="335"/>
      <c r="L218" s="336"/>
    </row>
    <row r="219" spans="2:13" ht="15.75">
      <c r="B219" s="166"/>
      <c r="C219" s="167"/>
      <c r="D219" s="337" t="s">
        <v>158</v>
      </c>
      <c r="E219" s="182"/>
      <c r="F219" s="182"/>
      <c r="G219" s="182"/>
      <c r="H219" s="182"/>
      <c r="I219" s="193"/>
      <c r="J219" s="164"/>
      <c r="K219" s="164"/>
      <c r="L219" s="164"/>
      <c r="M219" s="164"/>
    </row>
    <row r="220" spans="2:13" ht="15.75" thickBot="1">
      <c r="B220" s="166">
        <f>B217+1</f>
        <v>127</v>
      </c>
      <c r="C220" s="167"/>
      <c r="D220" s="236" t="s">
        <v>491</v>
      </c>
      <c r="E220" s="182"/>
      <c r="F220" s="182"/>
      <c r="G220" s="182"/>
      <c r="H220" s="182"/>
      <c r="I220" s="182"/>
      <c r="J220" s="182"/>
      <c r="K220" s="182"/>
      <c r="L220" s="338" t="s">
        <v>445</v>
      </c>
      <c r="M220" s="164"/>
    </row>
    <row r="221" spans="2:24" ht="15.75">
      <c r="B221" s="166">
        <f>B220+1</f>
        <v>128</v>
      </c>
      <c r="C221" s="167"/>
      <c r="D221" s="182" t="s">
        <v>511</v>
      </c>
      <c r="E221" s="157" t="str">
        <f>"(Worksheet M, ln."&amp;'WS M - Cost of Capital'!A55&amp;", col."&amp;'WS M - Cost of Capital'!E47&amp;")"</f>
        <v>(Worksheet M, ln.36, col.(d))</v>
      </c>
      <c r="F221" s="182"/>
      <c r="G221" s="182"/>
      <c r="H221" s="182"/>
      <c r="I221" s="182"/>
      <c r="J221" s="272" t="s">
        <v>417</v>
      </c>
      <c r="K221" s="182"/>
      <c r="L221" s="339">
        <f>'WS M - Cost of Capital'!E55</f>
        <v>11576650</v>
      </c>
      <c r="M221" s="182"/>
      <c r="N221" s="157"/>
      <c r="O221" s="157"/>
      <c r="P221" s="157"/>
      <c r="Q221" s="157"/>
      <c r="R221" s="157"/>
      <c r="S221" s="157"/>
      <c r="T221" s="157"/>
      <c r="U221" s="157"/>
      <c r="V221" s="157"/>
      <c r="W221" s="157"/>
      <c r="X221" s="157"/>
    </row>
    <row r="222" spans="2:24" ht="15">
      <c r="B222" s="166">
        <f aca="true" t="shared" si="9" ref="B222:B228">B221+1</f>
        <v>129</v>
      </c>
      <c r="C222" s="167"/>
      <c r="D222" s="182" t="s">
        <v>512</v>
      </c>
      <c r="E222" s="157" t="str">
        <f>"(Worksheet M, ln. "&amp;'WS M - Cost of Capital'!A75&amp;", col."&amp;'WS M - Cost of Capital'!E47&amp;")"</f>
        <v>(Worksheet M, ln. 45, col.(d))</v>
      </c>
      <c r="F222" s="182"/>
      <c r="G222" s="182"/>
      <c r="H222" s="182"/>
      <c r="I222" s="182"/>
      <c r="J222" s="182"/>
      <c r="K222" s="182"/>
      <c r="L222" s="199">
        <f>'WS M - Cost of Capital'!E75</f>
        <v>0</v>
      </c>
      <c r="M222" s="182"/>
      <c r="N222" s="157"/>
      <c r="O222" s="157"/>
      <c r="P222" s="157"/>
      <c r="Q222" s="157"/>
      <c r="R222" s="157"/>
      <c r="S222" s="157"/>
      <c r="T222" s="157"/>
      <c r="U222" s="157"/>
      <c r="V222" s="157"/>
      <c r="W222" s="157"/>
      <c r="X222" s="157"/>
    </row>
    <row r="223" spans="2:13" ht="15">
      <c r="B223" s="166">
        <f t="shared" si="9"/>
        <v>130</v>
      </c>
      <c r="C223" s="167"/>
      <c r="D223" s="340" t="s">
        <v>28</v>
      </c>
      <c r="E223" s="182"/>
      <c r="F223" s="182"/>
      <c r="G223" s="182"/>
      <c r="H223" s="341"/>
      <c r="I223" s="182"/>
      <c r="J223" s="182"/>
      <c r="K223" s="182"/>
      <c r="L223" s="199"/>
      <c r="M223" s="164"/>
    </row>
    <row r="224" spans="2:13" ht="15">
      <c r="B224" s="166">
        <f t="shared" si="9"/>
        <v>131</v>
      </c>
      <c r="C224" s="167"/>
      <c r="D224" s="182" t="s">
        <v>29</v>
      </c>
      <c r="E224" s="157" t="str">
        <f>"(Worksheet M, ln. "&amp;'WS M - Cost of Capital'!A23&amp;", col."&amp;'WS M - Cost of Capital'!C8&amp;")"</f>
        <v>(Worksheet M, ln. 14, col.(b))</v>
      </c>
      <c r="F224" s="182"/>
      <c r="G224" s="177"/>
      <c r="H224" s="341"/>
      <c r="I224" s="182"/>
      <c r="J224" s="182"/>
      <c r="K224" s="182"/>
      <c r="L224" s="199">
        <f>'WS M - Cost of Capital'!C23</f>
        <v>337336949.5</v>
      </c>
      <c r="M224" s="164"/>
    </row>
    <row r="225" spans="2:13" ht="15">
      <c r="B225" s="166">
        <f t="shared" si="9"/>
        <v>132</v>
      </c>
      <c r="C225" s="167"/>
      <c r="D225" s="182" t="s">
        <v>172</v>
      </c>
      <c r="E225" s="157" t="str">
        <f>"(Worksheet M, ln. "&amp;'WS M - Cost of Capital'!A23&amp;", col."&amp;'WS M - Cost of Capital'!D8&amp;")"</f>
        <v>(Worksheet M, ln. 14, col.(c))</v>
      </c>
      <c r="F225" s="182"/>
      <c r="G225" s="182"/>
      <c r="H225" s="341"/>
      <c r="I225" s="182"/>
      <c r="J225" s="182"/>
      <c r="K225" s="182"/>
      <c r="L225" s="199">
        <f>'WS M - Cost of Capital'!D23</f>
        <v>0</v>
      </c>
      <c r="M225" s="164"/>
    </row>
    <row r="226" spans="2:13" ht="15">
      <c r="B226" s="166">
        <f t="shared" si="9"/>
        <v>133</v>
      </c>
      <c r="C226" s="167"/>
      <c r="D226" s="182" t="s">
        <v>165</v>
      </c>
      <c r="E226" s="157" t="str">
        <f>"(Worksheet M, ln. "&amp;'WS M - Cost of Capital'!A23&amp;", col."&amp;'WS M - Cost of Capital'!E8&amp;")"</f>
        <v>(Worksheet M, ln. 14, col.(d))</v>
      </c>
      <c r="F226" s="182"/>
      <c r="G226" s="182"/>
      <c r="H226" s="341"/>
      <c r="I226" s="182"/>
      <c r="J226" s="182"/>
      <c r="K226" s="182"/>
      <c r="L226" s="199">
        <f>'WS M - Cost of Capital'!E23</f>
        <v>0</v>
      </c>
      <c r="M226" s="164"/>
    </row>
    <row r="227" spans="2:13" ht="15">
      <c r="B227" s="166">
        <f t="shared" si="9"/>
        <v>134</v>
      </c>
      <c r="C227" s="167"/>
      <c r="D227" s="182" t="s">
        <v>171</v>
      </c>
      <c r="E227" s="157" t="str">
        <f>"(Worksheet M, ln. "&amp;'WS M - Cost of Capital'!A23&amp;", col."&amp;'WS M - Cost of Capital'!F8&amp;")"</f>
        <v>(Worksheet M, ln. 14, col.(e))</v>
      </c>
      <c r="F227" s="182"/>
      <c r="G227" s="182"/>
      <c r="H227" s="341"/>
      <c r="I227" s="182"/>
      <c r="J227" s="182"/>
      <c r="K227" s="182"/>
      <c r="L227" s="1231">
        <f>'WS M - Cost of Capital'!F23</f>
        <v>0</v>
      </c>
      <c r="M227" s="164"/>
    </row>
    <row r="228" spans="2:13" ht="15">
      <c r="B228" s="166">
        <f t="shared" si="9"/>
        <v>135</v>
      </c>
      <c r="C228" s="167"/>
      <c r="D228" s="152" t="s">
        <v>30</v>
      </c>
      <c r="E228" s="182" t="str">
        <f>"(ln "&amp;B224&amp;" - ln "&amp;B225&amp;" - ln "&amp;B226&amp;" - ln "&amp;B227&amp;")"</f>
        <v>(ln 131 - ln 132 - ln 133 - ln 134)</v>
      </c>
      <c r="F228" s="342"/>
      <c r="G228" s="157"/>
      <c r="H228" s="177"/>
      <c r="I228" s="177"/>
      <c r="J228" s="177"/>
      <c r="K228" s="177"/>
      <c r="L228" s="199">
        <f>L224-L225-L226-L227</f>
        <v>337336949.5</v>
      </c>
      <c r="M228" s="164"/>
    </row>
    <row r="229" spans="2:13" ht="15.75">
      <c r="B229" s="166"/>
      <c r="C229" s="167"/>
      <c r="D229" s="236"/>
      <c r="E229" s="182"/>
      <c r="F229" s="182"/>
      <c r="G229" s="1397" t="s">
        <v>273</v>
      </c>
      <c r="H229" s="1397"/>
      <c r="I229" s="182"/>
      <c r="J229" s="266" t="s">
        <v>446</v>
      </c>
      <c r="K229" s="182"/>
      <c r="L229" s="182"/>
      <c r="M229" s="164"/>
    </row>
    <row r="230" spans="2:13" ht="15.75" thickBot="1">
      <c r="B230" s="166"/>
      <c r="C230" s="167"/>
      <c r="D230" s="236"/>
      <c r="E230" s="157"/>
      <c r="F230" s="182"/>
      <c r="G230" s="343" t="s">
        <v>445</v>
      </c>
      <c r="H230" s="343" t="s">
        <v>447</v>
      </c>
      <c r="I230" s="182"/>
      <c r="J230" s="344" t="s">
        <v>556</v>
      </c>
      <c r="K230" s="182"/>
      <c r="L230" s="343" t="s">
        <v>448</v>
      </c>
      <c r="M230" s="164"/>
    </row>
    <row r="231" spans="2:13" ht="15.75">
      <c r="B231" s="166">
        <f>B228+1</f>
        <v>136</v>
      </c>
      <c r="C231" s="167"/>
      <c r="D231" s="236" t="str">
        <f>"  Long Term Debt  (Note S) Worksheet M, ln "&amp;'WS M - Cost of Capital'!A42&amp;", col. (g), ln "&amp;'WS M - Cost of Capital'!A57&amp;", col. "&amp;'WS M - Cost of Capital'!E47&amp;")"</f>
        <v>  Long Term Debt  (Note S) Worksheet M, ln 28, col. (g), ln 37, col. (d))</v>
      </c>
      <c r="E231" s="157"/>
      <c r="F231" s="272" t="s">
        <v>417</v>
      </c>
      <c r="G231" s="199">
        <f>'WS M - Cost of Capital'!H42</f>
        <v>331500000</v>
      </c>
      <c r="H231" s="345">
        <f>IF($G$234=0,0,G231/$G$234)</f>
        <v>0.49563649294169265</v>
      </c>
      <c r="I231" s="346"/>
      <c r="J231" s="345">
        <f>IF(G231=0,0,L221/G231)</f>
        <v>0.03492202111613876</v>
      </c>
      <c r="K231" s="157"/>
      <c r="L231" s="347">
        <f>H231*J231</f>
        <v>0.017308628072438752</v>
      </c>
      <c r="M231" s="164"/>
    </row>
    <row r="232" spans="2:13" ht="15">
      <c r="B232" s="166">
        <f>B231+1</f>
        <v>137</v>
      </c>
      <c r="C232" s="167"/>
      <c r="D232" s="236" t="str">
        <f>"  Preferred Stock (ln "&amp;B225&amp;")"</f>
        <v>  Preferred Stock (ln 132)</v>
      </c>
      <c r="E232" s="157"/>
      <c r="F232" s="157"/>
      <c r="G232" s="199">
        <f>L225</f>
        <v>0</v>
      </c>
      <c r="H232" s="345">
        <f>IF($G$234=0,0,G232/$G$234)</f>
        <v>0</v>
      </c>
      <c r="I232" s="346"/>
      <c r="J232" s="345">
        <f>IF(G232=0,0,L222/G232)</f>
        <v>0</v>
      </c>
      <c r="K232" s="157"/>
      <c r="L232" s="348">
        <f>H232*J232</f>
        <v>0</v>
      </c>
      <c r="M232" s="164"/>
    </row>
    <row r="233" spans="2:13" ht="15.75" thickBot="1">
      <c r="B233" s="166">
        <f>B232+1</f>
        <v>138</v>
      </c>
      <c r="C233" s="167"/>
      <c r="D233" s="236" t="str">
        <f>"  Common Stock (ln "&amp;B228&amp;")"</f>
        <v>  Common Stock (ln 135)</v>
      </c>
      <c r="E233" s="157"/>
      <c r="F233" s="157"/>
      <c r="G233" s="238">
        <f>L228</f>
        <v>337336949.5</v>
      </c>
      <c r="H233" s="349">
        <f>IF($G$234=0,0,G233/$G$234)</f>
        <v>0.5043635070583073</v>
      </c>
      <c r="I233" s="346"/>
      <c r="J233" s="413">
        <v>0.1149</v>
      </c>
      <c r="K233" s="157"/>
      <c r="L233" s="350">
        <f>H233*J233</f>
        <v>0.05795136696099951</v>
      </c>
      <c r="M233" s="164"/>
    </row>
    <row r="234" spans="2:13" ht="15.75">
      <c r="B234" s="166">
        <f>B233+1</f>
        <v>139</v>
      </c>
      <c r="C234" s="167"/>
      <c r="D234" s="236" t="str">
        <f>" Total (Sum lns "&amp;B231&amp;" to "&amp;B233&amp;")"</f>
        <v> Total (Sum lns 136 to 138)</v>
      </c>
      <c r="E234" s="157"/>
      <c r="F234" s="157"/>
      <c r="G234" s="199">
        <f>SUM(G231:G233)</f>
        <v>668836949.5</v>
      </c>
      <c r="H234" s="206">
        <f>SUM(H231:H233)</f>
        <v>1</v>
      </c>
      <c r="I234" s="182"/>
      <c r="J234" s="351"/>
      <c r="K234" s="254" t="s">
        <v>363</v>
      </c>
      <c r="L234" s="352">
        <f>SUM(L231:L233)</f>
        <v>0.07525999503343826</v>
      </c>
      <c r="M234" s="164"/>
    </row>
    <row r="235" spans="2:13" ht="15">
      <c r="B235" s="166"/>
      <c r="C235" s="167"/>
      <c r="D235" s="237"/>
      <c r="E235" s="157"/>
      <c r="F235" s="182"/>
      <c r="G235" s="182"/>
      <c r="H235" s="182"/>
      <c r="I235" s="193"/>
      <c r="J235" s="164"/>
      <c r="K235" s="164"/>
      <c r="L235" s="164"/>
      <c r="M235" s="164"/>
    </row>
    <row r="236" spans="2:13" ht="15.75" hidden="1">
      <c r="B236" s="353"/>
      <c r="C236" s="354"/>
      <c r="D236" s="355" t="s">
        <v>224</v>
      </c>
      <c r="E236" s="356"/>
      <c r="F236" s="357"/>
      <c r="G236" s="358"/>
      <c r="H236" s="357"/>
      <c r="I236" s="357"/>
      <c r="J236" s="357"/>
      <c r="K236" s="359"/>
      <c r="L236" s="360"/>
      <c r="M236" s="164"/>
    </row>
    <row r="237" spans="2:13" ht="15.75" hidden="1" thickBot="1">
      <c r="B237" s="353">
        <f>B234+1</f>
        <v>140</v>
      </c>
      <c r="C237" s="354"/>
      <c r="D237" s="361" t="s">
        <v>491</v>
      </c>
      <c r="E237" s="357"/>
      <c r="F237" s="357"/>
      <c r="G237" s="357"/>
      <c r="H237" s="357"/>
      <c r="I237" s="357"/>
      <c r="J237" s="357"/>
      <c r="K237" s="357"/>
      <c r="L237" s="362" t="s">
        <v>445</v>
      </c>
      <c r="M237" s="164"/>
    </row>
    <row r="238" spans="2:13" ht="15" hidden="1">
      <c r="B238" s="353">
        <f aca="true" t="shared" si="10" ref="B238:B245">+B237+1</f>
        <v>141</v>
      </c>
      <c r="C238" s="354"/>
      <c r="D238" s="357" t="s">
        <v>511</v>
      </c>
      <c r="E238" s="358" t="str">
        <f>"(Worksheet Q, ln. "&amp;'WS Q Cap Structure'!A197&amp;")"</f>
        <v>(Worksheet Q, ln. 132)</v>
      </c>
      <c r="F238" s="357"/>
      <c r="G238" s="357"/>
      <c r="H238" s="357"/>
      <c r="I238" s="357"/>
      <c r="J238" s="357"/>
      <c r="K238" s="357"/>
      <c r="L238" s="363">
        <f>'WS Q Cap Structure'!J197</f>
        <v>0</v>
      </c>
      <c r="M238" s="164"/>
    </row>
    <row r="239" spans="2:13" ht="15" hidden="1">
      <c r="B239" s="353">
        <f t="shared" si="10"/>
        <v>142</v>
      </c>
      <c r="C239" s="354"/>
      <c r="D239" s="357" t="s">
        <v>512</v>
      </c>
      <c r="E239" s="358" t="str">
        <f>"(Worksheet Q, ln. "&amp;'WS Q Cap Structure'!A201&amp;")"</f>
        <v>(Worksheet Q, ln. 134)</v>
      </c>
      <c r="F239" s="357"/>
      <c r="G239" s="357"/>
      <c r="H239" s="357"/>
      <c r="I239" s="357"/>
      <c r="J239" s="357"/>
      <c r="K239" s="357"/>
      <c r="L239" s="363">
        <f>'WS Q Cap Structure'!J201</f>
        <v>0</v>
      </c>
      <c r="M239" s="164"/>
    </row>
    <row r="240" spans="2:13" ht="15" hidden="1">
      <c r="B240" s="353">
        <f t="shared" si="10"/>
        <v>143</v>
      </c>
      <c r="C240" s="354"/>
      <c r="D240" s="364" t="s">
        <v>28</v>
      </c>
      <c r="E240" s="357"/>
      <c r="F240" s="357"/>
      <c r="G240" s="357"/>
      <c r="H240" s="365"/>
      <c r="I240" s="357"/>
      <c r="J240" s="357"/>
      <c r="K240" s="357"/>
      <c r="L240" s="363"/>
      <c r="M240" s="164"/>
    </row>
    <row r="241" spans="2:13" ht="15" hidden="1">
      <c r="B241" s="353">
        <f t="shared" si="10"/>
        <v>144</v>
      </c>
      <c r="C241" s="354"/>
      <c r="D241" s="357" t="s">
        <v>29</v>
      </c>
      <c r="E241" s="358" t="str">
        <f>"(Worksheet Q, ln. "&amp;'WS Q Cap Structure'!A204&amp;")"</f>
        <v>(Worksheet Q, ln. 135)</v>
      </c>
      <c r="F241" s="357"/>
      <c r="G241" s="366"/>
      <c r="H241" s="367"/>
      <c r="I241" s="357"/>
      <c r="J241" s="357"/>
      <c r="K241" s="357"/>
      <c r="L241" s="368" t="e">
        <f>'WS Q Cap Structure'!J204</f>
        <v>#DIV/0!</v>
      </c>
      <c r="M241" s="164"/>
    </row>
    <row r="242" spans="2:13" ht="15" hidden="1">
      <c r="B242" s="353">
        <f t="shared" si="10"/>
        <v>145</v>
      </c>
      <c r="C242" s="354"/>
      <c r="D242" s="357" t="s">
        <v>172</v>
      </c>
      <c r="E242" s="358" t="str">
        <f>"(Worksheet Q, ln. "&amp;'WS Q Cap Structure'!A205&amp;")"</f>
        <v>(Worksheet Q, ln. 136)</v>
      </c>
      <c r="F242" s="357"/>
      <c r="G242" s="357"/>
      <c r="H242" s="367"/>
      <c r="I242" s="357"/>
      <c r="J242" s="357"/>
      <c r="K242" s="357"/>
      <c r="L242" s="368">
        <f>'WS Q Cap Structure'!J205</f>
        <v>0</v>
      </c>
      <c r="M242" s="164"/>
    </row>
    <row r="243" spans="2:13" ht="15" hidden="1">
      <c r="B243" s="353">
        <f>+B242+1</f>
        <v>146</v>
      </c>
      <c r="C243" s="354"/>
      <c r="D243" s="357" t="s">
        <v>165</v>
      </c>
      <c r="E243" s="358" t="str">
        <f>"(Worksheet Q, ln. "&amp;'WS Q Cap Structure'!A206&amp;")"</f>
        <v>(Worksheet Q, ln. 137)</v>
      </c>
      <c r="F243" s="357"/>
      <c r="G243" s="357"/>
      <c r="H243" s="367"/>
      <c r="I243" s="357"/>
      <c r="J243" s="357"/>
      <c r="K243" s="357"/>
      <c r="L243" s="368" t="e">
        <f>'WS Q Cap Structure'!J206</f>
        <v>#DIV/0!</v>
      </c>
      <c r="M243" s="164"/>
    </row>
    <row r="244" spans="2:13" ht="15.75" hidden="1" thickBot="1">
      <c r="B244" s="353">
        <f t="shared" si="10"/>
        <v>147</v>
      </c>
      <c r="C244" s="354"/>
      <c r="D244" s="357" t="s">
        <v>171</v>
      </c>
      <c r="E244" s="358" t="str">
        <f>"(Worksheet Q, ln. "&amp;'WS Q Cap Structure'!A207&amp;")"</f>
        <v>(Worksheet Q, ln. 138)</v>
      </c>
      <c r="F244" s="357"/>
      <c r="G244" s="357"/>
      <c r="H244" s="367"/>
      <c r="I244" s="357"/>
      <c r="J244" s="369"/>
      <c r="K244" s="357"/>
      <c r="L244" s="370" t="e">
        <f>'WS Q Cap Structure'!J207</f>
        <v>#DIV/0!</v>
      </c>
      <c r="M244" s="164"/>
    </row>
    <row r="245" spans="2:13" ht="15" hidden="1">
      <c r="B245" s="353">
        <f t="shared" si="10"/>
        <v>148</v>
      </c>
      <c r="C245" s="354"/>
      <c r="D245" s="358" t="s">
        <v>30</v>
      </c>
      <c r="E245" s="357" t="str">
        <f>"(ln "&amp;B241&amp;" - ln "&amp;B242&amp;" - ln "&amp;B243&amp;" - ln "&amp;B244&amp;")"</f>
        <v>(ln 144 - ln 145 - ln 146 - ln 147)</v>
      </c>
      <c r="F245" s="371"/>
      <c r="G245" s="358"/>
      <c r="H245" s="366"/>
      <c r="I245" s="366"/>
      <c r="J245" s="366"/>
      <c r="K245" s="366"/>
      <c r="L245" s="363" t="e">
        <f>+L241-L242-L243-L244</f>
        <v>#DIV/0!</v>
      </c>
      <c r="M245" s="164"/>
    </row>
    <row r="246" spans="2:13" ht="15.75" hidden="1">
      <c r="B246" s="353"/>
      <c r="C246" s="354"/>
      <c r="D246" s="361"/>
      <c r="E246" s="357"/>
      <c r="F246" s="357"/>
      <c r="G246" s="1396"/>
      <c r="H246" s="1396"/>
      <c r="I246" s="372"/>
      <c r="J246" s="358"/>
      <c r="K246" s="357"/>
      <c r="L246" s="357"/>
      <c r="M246" s="164"/>
    </row>
    <row r="247" spans="2:21" ht="15.75" hidden="1" thickBot="1">
      <c r="B247" s="353">
        <f>+B245+1</f>
        <v>149</v>
      </c>
      <c r="C247" s="354"/>
      <c r="D247" s="361"/>
      <c r="E247" s="358"/>
      <c r="F247" s="358"/>
      <c r="G247" s="373" t="s">
        <v>447</v>
      </c>
      <c r="H247" s="373" t="s">
        <v>445</v>
      </c>
      <c r="I247" s="372"/>
      <c r="J247" s="374" t="s">
        <v>446</v>
      </c>
      <c r="K247" s="357"/>
      <c r="L247" s="373" t="s">
        <v>448</v>
      </c>
      <c r="M247" s="164"/>
      <c r="N247" s="158"/>
      <c r="O247" s="158"/>
      <c r="P247" s="158"/>
      <c r="Q247" s="158"/>
      <c r="R247" s="158"/>
      <c r="S247" s="158"/>
      <c r="T247" s="158"/>
      <c r="U247" s="158"/>
    </row>
    <row r="248" spans="2:21" ht="15" hidden="1">
      <c r="B248" s="353">
        <f>+B247+1</f>
        <v>150</v>
      </c>
      <c r="C248" s="354"/>
      <c r="D248" s="361" t="str">
        <f>"  Long Term Debt   (Worksheet Q, ln "&amp;'WS Q Cap Structure'!A211&amp;")"</f>
        <v>  Long Term Debt   (Worksheet Q, ln 140)</v>
      </c>
      <c r="E248" s="358"/>
      <c r="F248" s="358"/>
      <c r="G248" s="375" t="e">
        <f>'WS Q Cap Structure'!J216</f>
        <v>#DIV/0!</v>
      </c>
      <c r="H248" s="363" t="e">
        <f>$H$251*G248</f>
        <v>#DIV/0!</v>
      </c>
      <c r="I248" s="376"/>
      <c r="J248" s="369" t="e">
        <f>+L238/H248</f>
        <v>#DIV/0!</v>
      </c>
      <c r="K248" s="358"/>
      <c r="L248" s="377" t="e">
        <f>+G248*J248</f>
        <v>#DIV/0!</v>
      </c>
      <c r="M248" s="378"/>
      <c r="N248" s="158"/>
      <c r="O248" s="158"/>
      <c r="P248" s="158"/>
      <c r="Q248" s="158"/>
      <c r="R248" s="158"/>
      <c r="S248" s="158"/>
      <c r="T248" s="158"/>
      <c r="U248" s="158"/>
    </row>
    <row r="249" spans="2:13" ht="15" hidden="1">
      <c r="B249" s="353">
        <f>+B248+1</f>
        <v>151</v>
      </c>
      <c r="C249" s="354"/>
      <c r="D249" s="361" t="str">
        <f>"  Preferred Stock (Worksheet Q, ln "&amp;'WS Q Cap Structure'!A212&amp;")"</f>
        <v>  Preferred Stock (Worksheet Q, ln 141)</v>
      </c>
      <c r="E249" s="358"/>
      <c r="F249" s="358"/>
      <c r="G249" s="375" t="e">
        <f>'WS Q Cap Structure'!J217</f>
        <v>#DIV/0!</v>
      </c>
      <c r="H249" s="363" t="e">
        <f>$H$251*G249</f>
        <v>#DIV/0!</v>
      </c>
      <c r="I249" s="376"/>
      <c r="J249" s="369">
        <f>IF(L239=0,0,+L239/H249)</f>
        <v>0</v>
      </c>
      <c r="K249" s="358"/>
      <c r="L249" s="379" t="e">
        <f>+G249*J249</f>
        <v>#DIV/0!</v>
      </c>
      <c r="M249" s="164"/>
    </row>
    <row r="250" spans="2:13" ht="15.75" hidden="1" thickBot="1">
      <c r="B250" s="353">
        <f>+B249+1</f>
        <v>152</v>
      </c>
      <c r="C250" s="354"/>
      <c r="D250" s="361" t="str">
        <f>"  Common Stock (Worksheet Q, ln "&amp;'WS Q Cap Structure'!A213&amp;")"</f>
        <v>  Common Stock (Worksheet Q, ln 142)</v>
      </c>
      <c r="E250" s="358"/>
      <c r="F250" s="358"/>
      <c r="G250" s="380" t="e">
        <f>'WS Q Cap Structure'!J218</f>
        <v>#DIV/0!</v>
      </c>
      <c r="H250" s="381" t="e">
        <f>$H$251*G250</f>
        <v>#DIV/0!</v>
      </c>
      <c r="I250" s="376"/>
      <c r="J250" s="148">
        <v>0.1149</v>
      </c>
      <c r="K250" s="358"/>
      <c r="L250" s="382" t="e">
        <f>+G250*J250</f>
        <v>#DIV/0!</v>
      </c>
      <c r="M250" s="164"/>
    </row>
    <row r="251" spans="2:13" ht="15.75" hidden="1">
      <c r="B251" s="353">
        <f>+B250+1</f>
        <v>153</v>
      </c>
      <c r="C251" s="354"/>
      <c r="D251" s="361" t="str">
        <f>" Total (Worksheet Q, ln "&amp;'WS Q Cap Structure'!A214&amp;")"</f>
        <v> Total (Worksheet Q, ln 143)</v>
      </c>
      <c r="E251" s="358"/>
      <c r="F251" s="358"/>
      <c r="G251" s="358"/>
      <c r="H251" s="363" t="e">
        <f>'WS Q Cap Structure'!J214</f>
        <v>#DIV/0!</v>
      </c>
      <c r="I251" s="372"/>
      <c r="J251" s="383"/>
      <c r="K251" s="384" t="s">
        <v>363</v>
      </c>
      <c r="L251" s="385" t="e">
        <f>SUM(L248:L250)</f>
        <v>#DIV/0!</v>
      </c>
      <c r="M251" s="386"/>
    </row>
    <row r="252" spans="2:21" ht="15">
      <c r="B252" s="166"/>
      <c r="C252" s="205"/>
      <c r="D252" s="308"/>
      <c r="E252" s="258"/>
      <c r="F252" s="387"/>
      <c r="G252" s="387"/>
      <c r="H252" s="387"/>
      <c r="I252" s="387"/>
      <c r="J252" s="388"/>
      <c r="K252" s="388"/>
      <c r="L252" s="388"/>
      <c r="M252" s="389"/>
      <c r="N252" s="177"/>
      <c r="O252" s="177"/>
      <c r="P252" s="177"/>
      <c r="Q252" s="177"/>
      <c r="R252" s="177"/>
      <c r="S252" s="177"/>
      <c r="T252" s="177"/>
      <c r="U252" s="177"/>
    </row>
    <row r="253" spans="2:21" ht="15">
      <c r="B253" s="166"/>
      <c r="C253" s="205"/>
      <c r="D253" s="205"/>
      <c r="E253" s="169"/>
      <c r="F253" s="169"/>
      <c r="G253" s="169"/>
      <c r="H253" s="169"/>
      <c r="I253" s="169"/>
      <c r="J253" s="164"/>
      <c r="K253" s="161"/>
      <c r="L253" s="164"/>
      <c r="M253" s="161"/>
      <c r="N253" s="177"/>
      <c r="O253" s="177"/>
      <c r="P253" s="177"/>
      <c r="Q253" s="177"/>
      <c r="R253" s="177"/>
      <c r="S253" s="177"/>
      <c r="T253" s="177"/>
      <c r="U253" s="177"/>
    </row>
    <row r="254" spans="2:21" ht="15.75">
      <c r="B254" s="264"/>
      <c r="C254" s="167"/>
      <c r="D254" s="154"/>
      <c r="E254" s="154"/>
      <c r="F254" s="266" t="str">
        <f>F192</f>
        <v>AEPTCo subsidiaries in PJM</v>
      </c>
      <c r="G254" s="155"/>
      <c r="H254" s="164"/>
      <c r="I254" s="164"/>
      <c r="J254" s="164"/>
      <c r="K254" s="161"/>
      <c r="L254" s="164"/>
      <c r="M254" s="215"/>
      <c r="N254" s="177"/>
      <c r="O254" s="177"/>
      <c r="P254" s="177"/>
      <c r="Q254" s="177"/>
      <c r="R254" s="177"/>
      <c r="S254" s="177"/>
      <c r="T254" s="177"/>
      <c r="U254" s="177"/>
    </row>
    <row r="255" spans="2:21" ht="15">
      <c r="B255" s="264"/>
      <c r="C255" s="167"/>
      <c r="D255" s="390"/>
      <c r="E255" s="167"/>
      <c r="F255" s="266" t="str">
        <f>F193</f>
        <v>Transmission Cost of Service Formula Rate</v>
      </c>
      <c r="G255" s="164"/>
      <c r="H255" s="164"/>
      <c r="I255" s="164"/>
      <c r="J255" s="164"/>
      <c r="K255" s="161"/>
      <c r="L255" s="180"/>
      <c r="M255" s="391"/>
      <c r="N255" s="177"/>
      <c r="O255" s="177"/>
      <c r="P255" s="177"/>
      <c r="Q255" s="177"/>
      <c r="R255" s="177"/>
      <c r="S255" s="177"/>
      <c r="T255" s="177"/>
      <c r="U255" s="177"/>
    </row>
    <row r="256" spans="2:21" ht="15.75">
      <c r="B256" s="264"/>
      <c r="C256" s="167"/>
      <c r="D256" s="390"/>
      <c r="E256" s="269"/>
      <c r="F256" s="266" t="str">
        <f>F194</f>
        <v>Utilizing  Actual/Projected FERC Form 1 Data</v>
      </c>
      <c r="G256" s="164"/>
      <c r="H256" s="164"/>
      <c r="I256" s="164"/>
      <c r="J256" s="164"/>
      <c r="K256" s="161"/>
      <c r="L256" s="180"/>
      <c r="M256" s="215"/>
      <c r="N256" s="177"/>
      <c r="O256" s="177"/>
      <c r="P256" s="177"/>
      <c r="Q256" s="177"/>
      <c r="R256" s="177"/>
      <c r="S256" s="177"/>
      <c r="T256" s="177"/>
      <c r="U256" s="177"/>
    </row>
    <row r="257" spans="2:21" ht="15.75">
      <c r="B257" s="166"/>
      <c r="C257" s="167"/>
      <c r="D257" s="390"/>
      <c r="E257" s="269"/>
      <c r="F257" s="266"/>
      <c r="G257" s="164"/>
      <c r="H257" s="164"/>
      <c r="I257" s="164"/>
      <c r="J257" s="164"/>
      <c r="K257" s="161"/>
      <c r="L257" s="180"/>
      <c r="M257" s="157"/>
      <c r="N257" s="177"/>
      <c r="O257" s="177"/>
      <c r="P257" s="177"/>
      <c r="Q257" s="177"/>
      <c r="R257" s="177"/>
      <c r="S257" s="177"/>
      <c r="T257" s="177"/>
      <c r="U257" s="177"/>
    </row>
    <row r="258" spans="2:21" ht="15.75">
      <c r="B258" s="166"/>
      <c r="C258" s="167"/>
      <c r="D258" s="390"/>
      <c r="E258" s="269"/>
      <c r="F258" s="266" t="str">
        <f>F196</f>
        <v>AEP WEST VIRGINIA TRANSMISSION COMPANY</v>
      </c>
      <c r="G258" s="164"/>
      <c r="H258" s="164"/>
      <c r="I258" s="164"/>
      <c r="J258" s="164"/>
      <c r="K258" s="161"/>
      <c r="L258" s="180"/>
      <c r="M258" s="157"/>
      <c r="N258" s="177"/>
      <c r="O258" s="177"/>
      <c r="P258" s="177"/>
      <c r="Q258" s="177"/>
      <c r="R258" s="177"/>
      <c r="S258" s="177"/>
      <c r="T258" s="177"/>
      <c r="U258" s="177"/>
    </row>
    <row r="259" spans="2:21" ht="15.75">
      <c r="B259" s="166"/>
      <c r="C259" s="167"/>
      <c r="D259" s="390"/>
      <c r="E259" s="269"/>
      <c r="F259" s="266"/>
      <c r="G259" s="164"/>
      <c r="H259" s="164"/>
      <c r="I259" s="164"/>
      <c r="J259" s="164"/>
      <c r="K259" s="161"/>
      <c r="L259" s="180"/>
      <c r="M259" s="157"/>
      <c r="N259" s="177"/>
      <c r="O259" s="177"/>
      <c r="P259" s="177"/>
      <c r="Q259" s="177"/>
      <c r="R259" s="177"/>
      <c r="S259" s="177"/>
      <c r="T259" s="177"/>
      <c r="U259" s="177"/>
    </row>
    <row r="260" spans="2:21" ht="15.75">
      <c r="B260" s="392" t="s">
        <v>477</v>
      </c>
      <c r="C260" s="174"/>
      <c r="D260" s="201"/>
      <c r="E260" s="177"/>
      <c r="F260" s="392" t="s">
        <v>476</v>
      </c>
      <c r="G260" s="182"/>
      <c r="H260" s="182"/>
      <c r="I260" s="182"/>
      <c r="J260" s="182" t="s">
        <v>636</v>
      </c>
      <c r="K260" s="177"/>
      <c r="L260" s="182"/>
      <c r="M260" s="157"/>
      <c r="N260" s="177"/>
      <c r="O260" s="177"/>
      <c r="P260" s="177"/>
      <c r="Q260" s="177"/>
      <c r="R260" s="177"/>
      <c r="S260" s="177"/>
      <c r="T260" s="177"/>
      <c r="U260" s="177"/>
    </row>
    <row r="261" spans="3:21" ht="15">
      <c r="C261" s="174"/>
      <c r="L261" s="180"/>
      <c r="M261" s="157"/>
      <c r="N261" s="177"/>
      <c r="O261" s="177"/>
      <c r="P261" s="177"/>
      <c r="Q261" s="177"/>
      <c r="R261" s="177"/>
      <c r="S261" s="177"/>
      <c r="T261" s="177"/>
      <c r="U261" s="177"/>
    </row>
    <row r="262" spans="2:21" ht="15">
      <c r="B262" s="166"/>
      <c r="C262" s="167"/>
      <c r="D262" s="158" t="s">
        <v>333</v>
      </c>
      <c r="E262" s="190"/>
      <c r="F262" s="190"/>
      <c r="G262" s="182"/>
      <c r="H262" s="182"/>
      <c r="I262" s="182"/>
      <c r="J262" s="182"/>
      <c r="K262" s="177"/>
      <c r="L262" s="182"/>
      <c r="M262" s="177"/>
      <c r="N262" s="177"/>
      <c r="O262" s="177"/>
      <c r="P262" s="177"/>
      <c r="Q262" s="177"/>
      <c r="R262" s="177"/>
      <c r="S262" s="177"/>
      <c r="T262" s="177"/>
      <c r="U262" s="177"/>
    </row>
    <row r="263" spans="2:21" ht="15">
      <c r="B263" s="152"/>
      <c r="D263" s="201"/>
      <c r="E263" s="177"/>
      <c r="F263" s="177"/>
      <c r="G263" s="182"/>
      <c r="H263" s="182"/>
      <c r="I263" s="182"/>
      <c r="J263" s="182"/>
      <c r="K263" s="177"/>
      <c r="L263" s="182"/>
      <c r="M263" s="177"/>
      <c r="N263" s="177"/>
      <c r="O263" s="177"/>
      <c r="P263" s="177"/>
      <c r="Q263" s="177"/>
      <c r="R263" s="177"/>
      <c r="S263" s="177"/>
      <c r="T263" s="177"/>
      <c r="U263" s="177"/>
    </row>
    <row r="264" spans="2:21" ht="15">
      <c r="B264" s="152"/>
      <c r="D264" s="201"/>
      <c r="E264" s="177"/>
      <c r="F264" s="177"/>
      <c r="G264" s="182"/>
      <c r="H264" s="182"/>
      <c r="I264" s="182"/>
      <c r="J264" s="182"/>
      <c r="K264" s="177"/>
      <c r="L264" s="182"/>
      <c r="M264" s="177"/>
      <c r="N264" s="177"/>
      <c r="O264" s="177"/>
      <c r="P264" s="177"/>
      <c r="Q264" s="177"/>
      <c r="R264" s="177"/>
      <c r="S264" s="177"/>
      <c r="T264" s="177"/>
      <c r="U264" s="177"/>
    </row>
    <row r="265" spans="2:21" ht="15">
      <c r="B265" s="393" t="s">
        <v>449</v>
      </c>
      <c r="C265" s="174"/>
      <c r="D265" s="201" t="s">
        <v>275</v>
      </c>
      <c r="E265" s="177"/>
      <c r="F265" s="177"/>
      <c r="G265" s="182"/>
      <c r="H265" s="182"/>
      <c r="I265" s="182"/>
      <c r="J265" s="182"/>
      <c r="K265" s="177"/>
      <c r="L265" s="182"/>
      <c r="M265" s="177"/>
      <c r="N265" s="177"/>
      <c r="O265" s="177"/>
      <c r="P265" s="177"/>
      <c r="Q265" s="177"/>
      <c r="R265" s="177"/>
      <c r="S265" s="177"/>
      <c r="T265" s="177"/>
      <c r="U265" s="177"/>
    </row>
    <row r="266" spans="2:21" ht="15">
      <c r="B266" s="393"/>
      <c r="C266" s="267"/>
      <c r="D266" s="201" t="s">
        <v>173</v>
      </c>
      <c r="E266" s="177"/>
      <c r="F266" s="177"/>
      <c r="G266" s="177"/>
      <c r="H266" s="177"/>
      <c r="I266" s="177"/>
      <c r="J266" s="177"/>
      <c r="K266" s="177"/>
      <c r="L266" s="177"/>
      <c r="M266" s="177"/>
      <c r="N266" s="177"/>
      <c r="O266" s="177"/>
      <c r="P266" s="177"/>
      <c r="Q266" s="177"/>
      <c r="R266" s="177"/>
      <c r="S266" s="177"/>
      <c r="T266" s="177"/>
      <c r="U266" s="177"/>
    </row>
    <row r="267" spans="2:21" ht="15">
      <c r="B267" s="394"/>
      <c r="C267" s="157"/>
      <c r="D267" s="152" t="s">
        <v>174</v>
      </c>
      <c r="E267" s="395"/>
      <c r="F267" s="395"/>
      <c r="G267" s="177"/>
      <c r="H267" s="177"/>
      <c r="I267" s="177"/>
      <c r="J267" s="177"/>
      <c r="K267" s="177"/>
      <c r="L267" s="177"/>
      <c r="M267" s="177"/>
      <c r="N267" s="177"/>
      <c r="O267" s="177"/>
      <c r="P267" s="177"/>
      <c r="Q267" s="177"/>
      <c r="R267" s="177"/>
      <c r="S267" s="177"/>
      <c r="T267" s="177"/>
      <c r="U267" s="177"/>
    </row>
    <row r="268" spans="2:21" ht="15">
      <c r="B268" s="394"/>
      <c r="C268" s="157"/>
      <c r="D268" s="201" t="s">
        <v>276</v>
      </c>
      <c r="E268" s="177"/>
      <c r="F268" s="177"/>
      <c r="G268" s="177"/>
      <c r="H268" s="177"/>
      <c r="I268" s="177"/>
      <c r="J268" s="177"/>
      <c r="K268" s="177"/>
      <c r="L268" s="177"/>
      <c r="M268" s="177"/>
      <c r="N268" s="177"/>
      <c r="O268" s="177"/>
      <c r="P268" s="177"/>
      <c r="Q268" s="177"/>
      <c r="R268" s="177"/>
      <c r="S268" s="177"/>
      <c r="T268" s="177"/>
      <c r="U268" s="177"/>
    </row>
    <row r="269" spans="2:21" ht="15">
      <c r="B269" s="189"/>
      <c r="C269" s="190"/>
      <c r="D269" s="201" t="s">
        <v>277</v>
      </c>
      <c r="E269" s="177"/>
      <c r="F269" s="177"/>
      <c r="G269" s="177"/>
      <c r="H269" s="177"/>
      <c r="I269" s="177"/>
      <c r="J269" s="177"/>
      <c r="K269" s="177"/>
      <c r="L269" s="177"/>
      <c r="M269" s="177"/>
      <c r="N269" s="177"/>
      <c r="O269" s="177"/>
      <c r="P269" s="177"/>
      <c r="Q269" s="177"/>
      <c r="R269" s="177"/>
      <c r="S269" s="177"/>
      <c r="T269" s="177"/>
      <c r="U269" s="177"/>
    </row>
    <row r="270" spans="2:21" ht="15">
      <c r="B270" s="189"/>
      <c r="C270" s="190"/>
      <c r="D270" s="201" t="s">
        <v>175</v>
      </c>
      <c r="E270" s="177"/>
      <c r="F270" s="177"/>
      <c r="G270" s="177"/>
      <c r="H270" s="177"/>
      <c r="I270" s="177"/>
      <c r="J270" s="177"/>
      <c r="K270" s="177"/>
      <c r="L270" s="177"/>
      <c r="M270" s="177"/>
      <c r="N270" s="177"/>
      <c r="O270" s="177"/>
      <c r="P270" s="177"/>
      <c r="Q270" s="177"/>
      <c r="R270" s="177"/>
      <c r="S270" s="177"/>
      <c r="T270" s="177"/>
      <c r="U270" s="177"/>
    </row>
    <row r="271" spans="2:21" ht="15">
      <c r="B271" s="189"/>
      <c r="C271" s="190"/>
      <c r="D271" s="201" t="s">
        <v>176</v>
      </c>
      <c r="E271" s="177"/>
      <c r="F271" s="177"/>
      <c r="G271" s="177"/>
      <c r="H271" s="177"/>
      <c r="I271" s="177"/>
      <c r="J271" s="177"/>
      <c r="K271" s="177"/>
      <c r="L271" s="177"/>
      <c r="M271" s="177"/>
      <c r="N271" s="177"/>
      <c r="O271" s="177"/>
      <c r="P271" s="177"/>
      <c r="Q271" s="177"/>
      <c r="R271" s="177"/>
      <c r="S271" s="177"/>
      <c r="T271" s="177"/>
      <c r="U271" s="177"/>
    </row>
    <row r="272" spans="2:21" ht="15">
      <c r="B272" s="189"/>
      <c r="C272" s="190"/>
      <c r="D272" s="201" t="s">
        <v>617</v>
      </c>
      <c r="E272" s="177"/>
      <c r="F272" s="177"/>
      <c r="G272" s="177"/>
      <c r="H272" s="177"/>
      <c r="I272" s="177"/>
      <c r="J272" s="177"/>
      <c r="K272" s="177"/>
      <c r="L272" s="177"/>
      <c r="M272" s="177"/>
      <c r="N272" s="177"/>
      <c r="O272" s="177"/>
      <c r="P272" s="177"/>
      <c r="Q272" s="177"/>
      <c r="R272" s="177"/>
      <c r="S272" s="177"/>
      <c r="T272" s="177"/>
      <c r="U272" s="177"/>
    </row>
    <row r="273" spans="2:21" ht="15">
      <c r="B273" s="189"/>
      <c r="C273" s="190"/>
      <c r="D273" s="201" t="s">
        <v>603</v>
      </c>
      <c r="E273" s="177"/>
      <c r="F273" s="177"/>
      <c r="G273" s="177"/>
      <c r="H273" s="177"/>
      <c r="I273" s="177"/>
      <c r="J273" s="177"/>
      <c r="K273" s="177"/>
      <c r="L273" s="177"/>
      <c r="M273" s="177"/>
      <c r="N273" s="177"/>
      <c r="O273" s="177"/>
      <c r="P273" s="177"/>
      <c r="Q273" s="177"/>
      <c r="R273" s="177"/>
      <c r="S273" s="177"/>
      <c r="T273" s="177"/>
      <c r="U273" s="177"/>
    </row>
    <row r="274" spans="2:21" ht="15">
      <c r="B274" s="189"/>
      <c r="C274" s="190"/>
      <c r="D274" s="201" t="s">
        <v>618</v>
      </c>
      <c r="E274" s="177"/>
      <c r="F274" s="177"/>
      <c r="G274" s="177"/>
      <c r="H274" s="177"/>
      <c r="I274" s="177"/>
      <c r="J274" s="177"/>
      <c r="K274" s="177"/>
      <c r="L274" s="177"/>
      <c r="M274" s="177"/>
      <c r="N274" s="177"/>
      <c r="O274" s="177"/>
      <c r="P274" s="177"/>
      <c r="Q274" s="177"/>
      <c r="R274" s="177"/>
      <c r="S274" s="177"/>
      <c r="T274" s="177"/>
      <c r="U274" s="177"/>
    </row>
    <row r="275" spans="2:21" ht="15">
      <c r="B275" s="189"/>
      <c r="C275" s="190"/>
      <c r="D275" s="201" t="s">
        <v>604</v>
      </c>
      <c r="E275" s="177"/>
      <c r="F275" s="177"/>
      <c r="G275" s="177"/>
      <c r="H275" s="177"/>
      <c r="I275" s="177"/>
      <c r="J275" s="177"/>
      <c r="K275" s="177"/>
      <c r="L275" s="177"/>
      <c r="M275" s="177"/>
      <c r="N275" s="177"/>
      <c r="O275" s="177"/>
      <c r="P275" s="177"/>
      <c r="Q275" s="177"/>
      <c r="R275" s="177"/>
      <c r="S275" s="177"/>
      <c r="T275" s="177"/>
      <c r="U275" s="177"/>
    </row>
    <row r="276" spans="2:21" ht="15">
      <c r="B276" s="189"/>
      <c r="C276" s="190"/>
      <c r="D276" s="201" t="s">
        <v>282</v>
      </c>
      <c r="E276" s="177"/>
      <c r="F276" s="177"/>
      <c r="G276" s="177"/>
      <c r="H276" s="177"/>
      <c r="I276" s="177"/>
      <c r="J276" s="177"/>
      <c r="K276" s="177"/>
      <c r="L276" s="177"/>
      <c r="M276" s="177"/>
      <c r="N276" s="177"/>
      <c r="O276" s="177"/>
      <c r="P276" s="177"/>
      <c r="Q276" s="177"/>
      <c r="R276" s="177"/>
      <c r="S276" s="177"/>
      <c r="T276" s="177"/>
      <c r="U276" s="177"/>
    </row>
    <row r="277" spans="2:21" ht="15">
      <c r="B277" s="189"/>
      <c r="C277" s="190"/>
      <c r="D277" s="388"/>
      <c r="E277" s="177"/>
      <c r="F277" s="177"/>
      <c r="G277" s="177"/>
      <c r="H277" s="177"/>
      <c r="I277" s="177"/>
      <c r="J277" s="177"/>
      <c r="K277" s="177"/>
      <c r="L277" s="201"/>
      <c r="M277" s="177"/>
      <c r="N277" s="177"/>
      <c r="O277" s="177"/>
      <c r="P277" s="177"/>
      <c r="Q277" s="177"/>
      <c r="R277" s="177"/>
      <c r="S277" s="177"/>
      <c r="T277" s="177"/>
      <c r="U277" s="177"/>
    </row>
    <row r="278" spans="2:21" ht="15" customHeight="1">
      <c r="B278" s="189" t="s">
        <v>450</v>
      </c>
      <c r="C278" s="190"/>
      <c r="D278" s="1398" t="s">
        <v>619</v>
      </c>
      <c r="E278" s="1399"/>
      <c r="F278" s="1399"/>
      <c r="G278" s="1399"/>
      <c r="H278" s="1399"/>
      <c r="I278" s="1399"/>
      <c r="J278" s="1399"/>
      <c r="K278" s="1399"/>
      <c r="L278" s="201"/>
      <c r="M278" s="177"/>
      <c r="N278" s="177"/>
      <c r="O278" s="177"/>
      <c r="P278" s="177"/>
      <c r="Q278" s="177"/>
      <c r="R278" s="177"/>
      <c r="S278" s="177"/>
      <c r="T278" s="177"/>
      <c r="U278" s="177"/>
    </row>
    <row r="279" spans="2:21" ht="15">
      <c r="B279" s="189"/>
      <c r="C279" s="190"/>
      <c r="D279" s="1399"/>
      <c r="E279" s="1399"/>
      <c r="F279" s="1399"/>
      <c r="G279" s="1399"/>
      <c r="H279" s="1399"/>
      <c r="I279" s="1399"/>
      <c r="J279" s="1399"/>
      <c r="K279" s="1399"/>
      <c r="L279" s="201"/>
      <c r="M279" s="177"/>
      <c r="N279" s="177"/>
      <c r="O279" s="177"/>
      <c r="P279" s="177"/>
      <c r="Q279" s="177"/>
      <c r="R279" s="177"/>
      <c r="S279" s="177"/>
      <c r="T279" s="177"/>
      <c r="U279" s="177"/>
    </row>
    <row r="280" spans="5:21" ht="15">
      <c r="E280" s="177"/>
      <c r="F280" s="177"/>
      <c r="G280" s="177"/>
      <c r="H280" s="177"/>
      <c r="I280" s="177"/>
      <c r="J280" s="177"/>
      <c r="K280" s="177"/>
      <c r="L280" s="177"/>
      <c r="M280" s="177"/>
      <c r="N280" s="177"/>
      <c r="O280" s="177"/>
      <c r="P280" s="177"/>
      <c r="Q280" s="177"/>
      <c r="R280" s="177"/>
      <c r="S280" s="177"/>
      <c r="T280" s="177"/>
      <c r="U280" s="177"/>
    </row>
    <row r="281" spans="2:21" ht="15">
      <c r="B281" s="189" t="s">
        <v>451</v>
      </c>
      <c r="C281" s="190"/>
      <c r="D281" s="389" t="s">
        <v>610</v>
      </c>
      <c r="E281" s="177"/>
      <c r="F281" s="177"/>
      <c r="G281" s="177"/>
      <c r="H281" s="177"/>
      <c r="I281" s="177"/>
      <c r="J281" s="177"/>
      <c r="K281" s="177"/>
      <c r="L281" s="177"/>
      <c r="M281" s="177"/>
      <c r="N281" s="177"/>
      <c r="O281" s="177"/>
      <c r="P281" s="177"/>
      <c r="Q281" s="177"/>
      <c r="R281" s="177"/>
      <c r="S281" s="177"/>
      <c r="T281" s="177"/>
      <c r="U281" s="177"/>
    </row>
    <row r="282" spans="2:21" ht="15">
      <c r="B282" s="189"/>
      <c r="C282" s="190"/>
      <c r="D282" s="389"/>
      <c r="E282" s="177"/>
      <c r="F282" s="177"/>
      <c r="G282" s="177"/>
      <c r="H282" s="177"/>
      <c r="I282" s="177"/>
      <c r="J282" s="177"/>
      <c r="K282" s="177"/>
      <c r="L282" s="177"/>
      <c r="M282" s="177"/>
      <c r="N282" s="177"/>
      <c r="O282" s="177"/>
      <c r="P282" s="177"/>
      <c r="Q282" s="177"/>
      <c r="R282" s="177"/>
      <c r="S282" s="177"/>
      <c r="T282" s="177"/>
      <c r="U282" s="177"/>
    </row>
    <row r="283" spans="2:21" ht="15">
      <c r="B283" s="189" t="s">
        <v>452</v>
      </c>
      <c r="C283" s="190"/>
      <c r="D283" s="201" t="s">
        <v>31</v>
      </c>
      <c r="E283" s="177"/>
      <c r="F283" s="177"/>
      <c r="G283" s="177"/>
      <c r="H283" s="177"/>
      <c r="I283" s="177"/>
      <c r="J283" s="177"/>
      <c r="K283" s="177"/>
      <c r="L283" s="177"/>
      <c r="M283" s="177"/>
      <c r="N283" s="177"/>
      <c r="O283" s="177"/>
      <c r="P283" s="201"/>
      <c r="Q283" s="201"/>
      <c r="R283" s="177"/>
      <c r="S283" s="177"/>
      <c r="T283" s="177"/>
      <c r="U283" s="177"/>
    </row>
    <row r="284" spans="2:21" ht="15">
      <c r="B284" s="189"/>
      <c r="C284" s="190"/>
      <c r="D284" s="201" t="s">
        <v>288</v>
      </c>
      <c r="E284" s="177"/>
      <c r="F284" s="177"/>
      <c r="G284" s="177"/>
      <c r="H284" s="177"/>
      <c r="I284" s="177"/>
      <c r="J284" s="177"/>
      <c r="K284" s="177"/>
      <c r="L284" s="177"/>
      <c r="M284" s="177"/>
      <c r="N284" s="177"/>
      <c r="O284" s="177"/>
      <c r="P284" s="201"/>
      <c r="Q284" s="201"/>
      <c r="R284" s="177"/>
      <c r="S284" s="177"/>
      <c r="T284" s="177"/>
      <c r="U284" s="177"/>
    </row>
    <row r="285" spans="2:21" ht="15">
      <c r="B285" s="189"/>
      <c r="C285" s="190"/>
      <c r="D285" s="201" t="s">
        <v>294</v>
      </c>
      <c r="E285" s="177"/>
      <c r="F285" s="177"/>
      <c r="G285" s="177"/>
      <c r="H285" s="177"/>
      <c r="I285" s="177"/>
      <c r="J285" s="177"/>
      <c r="K285" s="177"/>
      <c r="L285" s="319"/>
      <c r="M285" s="177"/>
      <c r="N285" s="177"/>
      <c r="O285" s="177"/>
      <c r="P285" s="201"/>
      <c r="Q285" s="201"/>
      <c r="R285" s="177"/>
      <c r="S285" s="177"/>
      <c r="T285" s="177"/>
      <c r="U285" s="177"/>
    </row>
    <row r="286" spans="2:21" ht="15">
      <c r="B286" s="189"/>
      <c r="C286" s="190"/>
      <c r="D286" s="201" t="s">
        <v>163</v>
      </c>
      <c r="E286" s="177"/>
      <c r="F286" s="177"/>
      <c r="G286" s="177"/>
      <c r="H286" s="177"/>
      <c r="I286" s="177"/>
      <c r="J286" s="177"/>
      <c r="K286" s="177"/>
      <c r="L286" s="319"/>
      <c r="M286" s="177"/>
      <c r="N286" s="177"/>
      <c r="O286" s="177"/>
      <c r="P286" s="201"/>
      <c r="Q286" s="177"/>
      <c r="R286" s="177"/>
      <c r="S286" s="177"/>
      <c r="T286" s="177"/>
      <c r="U286" s="177"/>
    </row>
    <row r="287" spans="2:21" ht="15">
      <c r="B287" s="189"/>
      <c r="C287" s="190"/>
      <c r="D287" s="201" t="s">
        <v>605</v>
      </c>
      <c r="E287" s="177"/>
      <c r="F287" s="177"/>
      <c r="G287" s="177"/>
      <c r="H287" s="177"/>
      <c r="I287" s="177"/>
      <c r="J287" s="177"/>
      <c r="K287" s="177"/>
      <c r="L287" s="319"/>
      <c r="M287" s="177"/>
      <c r="N287" s="177"/>
      <c r="O287" s="177"/>
      <c r="P287" s="201"/>
      <c r="Q287" s="177"/>
      <c r="R287" s="177"/>
      <c r="S287" s="177"/>
      <c r="T287" s="177"/>
      <c r="U287" s="177"/>
    </row>
    <row r="288" spans="2:21" ht="15">
      <c r="B288" s="189"/>
      <c r="C288" s="190"/>
      <c r="D288" s="201" t="s">
        <v>606</v>
      </c>
      <c r="E288" s="177"/>
      <c r="F288" s="177"/>
      <c r="G288" s="177"/>
      <c r="H288" s="177"/>
      <c r="I288" s="177"/>
      <c r="J288" s="177"/>
      <c r="K288" s="177"/>
      <c r="L288" s="319"/>
      <c r="M288" s="177"/>
      <c r="N288" s="177"/>
      <c r="O288" s="177"/>
      <c r="P288" s="201"/>
      <c r="Q288" s="177"/>
      <c r="R288" s="177"/>
      <c r="S288" s="177"/>
      <c r="T288" s="177"/>
      <c r="U288" s="177"/>
    </row>
    <row r="289" spans="2:21" ht="15">
      <c r="B289" s="189"/>
      <c r="C289" s="190"/>
      <c r="D289" s="201" t="s">
        <v>607</v>
      </c>
      <c r="E289" s="177"/>
      <c r="F289" s="177"/>
      <c r="G289" s="177"/>
      <c r="H289" s="177"/>
      <c r="I289" s="177"/>
      <c r="J289" s="177"/>
      <c r="K289" s="177"/>
      <c r="L289" s="319"/>
      <c r="M289" s="177"/>
      <c r="N289" s="177"/>
      <c r="O289" s="177"/>
      <c r="P289" s="201"/>
      <c r="Q289" s="177"/>
      <c r="R289" s="177"/>
      <c r="S289" s="177"/>
      <c r="T289" s="177"/>
      <c r="U289" s="177"/>
    </row>
    <row r="290" spans="2:21" ht="15">
      <c r="B290" s="189"/>
      <c r="C290" s="190"/>
      <c r="D290" s="201" t="s">
        <v>109</v>
      </c>
      <c r="E290" s="177"/>
      <c r="F290" s="177"/>
      <c r="G290" s="177"/>
      <c r="H290" s="177"/>
      <c r="I290" s="177"/>
      <c r="J290" s="177"/>
      <c r="K290" s="177"/>
      <c r="L290" s="319"/>
      <c r="M290" s="177"/>
      <c r="N290" s="177"/>
      <c r="O290" s="177"/>
      <c r="P290" s="201"/>
      <c r="Q290" s="177"/>
      <c r="R290" s="177"/>
      <c r="S290" s="177"/>
      <c r="T290" s="177"/>
      <c r="U290" s="177"/>
    </row>
    <row r="291" spans="2:21" ht="15">
      <c r="B291" s="189"/>
      <c r="C291" s="190"/>
      <c r="D291" s="201"/>
      <c r="E291" s="177"/>
      <c r="F291" s="177"/>
      <c r="G291" s="177"/>
      <c r="H291" s="177"/>
      <c r="I291" s="177"/>
      <c r="J291" s="177"/>
      <c r="K291" s="177"/>
      <c r="L291" s="319"/>
      <c r="M291" s="177"/>
      <c r="N291" s="177"/>
      <c r="O291" s="177"/>
      <c r="P291" s="201"/>
      <c r="Q291" s="177"/>
      <c r="R291" s="177"/>
      <c r="S291" s="177"/>
      <c r="T291" s="177"/>
      <c r="U291" s="177"/>
    </row>
    <row r="292" spans="2:21" ht="15">
      <c r="B292" s="189" t="s">
        <v>453</v>
      </c>
      <c r="C292" s="201"/>
      <c r="D292" s="201" t="str">
        <f>"Cash Working Capital assigned to transmission is one-eighth of O&amp;M allocated to transmission, as shown on line "&amp;B132&amp;". It excludes:"</f>
        <v>Cash Working Capital assigned to transmission is one-eighth of O&amp;M allocated to transmission, as shown on line 66. It excludes:</v>
      </c>
      <c r="E292" s="396"/>
      <c r="F292" s="396"/>
      <c r="G292" s="396"/>
      <c r="H292" s="396"/>
      <c r="I292" s="396"/>
      <c r="J292" s="396"/>
      <c r="K292" s="396"/>
      <c r="L292" s="397"/>
      <c r="M292" s="177"/>
      <c r="N292" s="177"/>
      <c r="O292" s="177"/>
      <c r="P292" s="177"/>
      <c r="Q292" s="177"/>
      <c r="R292" s="177"/>
      <c r="S292" s="177"/>
      <c r="T292" s="177"/>
      <c r="U292" s="177"/>
    </row>
    <row r="293" spans="2:21" ht="15">
      <c r="B293" s="189"/>
      <c r="C293" s="201"/>
      <c r="D293" s="398" t="str">
        <f>+"1)  Load Scheduling &amp; Dispatch Charges in account 561 that are collected in the OATT Ancilliary Services Revenue, as shown on line "&amp;B129&amp;"."</f>
        <v>1)  Load Scheduling &amp; Dispatch Charges in account 561 that are collected in the OATT Ancilliary Services Revenue, as shown on line 63.</v>
      </c>
      <c r="E293" s="239"/>
      <c r="F293" s="239"/>
      <c r="G293" s="239"/>
      <c r="H293" s="239"/>
      <c r="I293" s="239"/>
      <c r="J293" s="239"/>
      <c r="K293" s="239"/>
      <c r="L293" s="397"/>
      <c r="M293" s="177"/>
      <c r="N293" s="177"/>
      <c r="O293" s="177"/>
      <c r="P293" s="177"/>
      <c r="Q293" s="177"/>
      <c r="R293" s="177"/>
      <c r="S293" s="177"/>
      <c r="T293" s="177"/>
      <c r="U293" s="177"/>
    </row>
    <row r="294" spans="2:21" ht="15">
      <c r="B294" s="189"/>
      <c r="C294" s="201"/>
      <c r="D294" s="399" t="str">
        <f>+"2)  Costs of Transmission of Electricity by Others, as described in Note H."</f>
        <v>2)  Costs of Transmission of Electricity by Others, as described in Note H.</v>
      </c>
      <c r="E294" s="396"/>
      <c r="F294" s="396"/>
      <c r="G294" s="396"/>
      <c r="H294" s="396"/>
      <c r="I294" s="396"/>
      <c r="J294" s="396"/>
      <c r="K294" s="396"/>
      <c r="L294" s="397"/>
      <c r="M294" s="177"/>
      <c r="N294" s="177"/>
      <c r="O294" s="177"/>
      <c r="P294" s="177"/>
      <c r="Q294" s="177"/>
      <c r="R294" s="177"/>
      <c r="S294" s="177"/>
      <c r="T294" s="177"/>
      <c r="U294" s="177"/>
    </row>
    <row r="295" spans="2:21" ht="15">
      <c r="B295" s="189"/>
      <c r="C295" s="201"/>
      <c r="D295" s="398" t="str">
        <f>+"3)  The impact of state regulatory deferrals and amortizations, as shown on line  "&amp;B131&amp;""</f>
        <v>3)  The impact of state regulatory deferrals and amortizations, as shown on line  65</v>
      </c>
      <c r="E295" s="239"/>
      <c r="F295" s="239"/>
      <c r="G295" s="239"/>
      <c r="H295" s="239"/>
      <c r="I295" s="239"/>
      <c r="J295" s="239"/>
      <c r="K295" s="239"/>
      <c r="L295" s="397"/>
      <c r="M295" s="177"/>
      <c r="N295" s="177"/>
      <c r="O295" s="177"/>
      <c r="P295" s="177"/>
      <c r="Q295" s="177"/>
      <c r="R295" s="177"/>
      <c r="S295" s="177"/>
      <c r="T295" s="177"/>
      <c r="U295" s="177"/>
    </row>
    <row r="296" spans="2:21" ht="15">
      <c r="B296" s="189"/>
      <c r="C296" s="239"/>
      <c r="D296" s="399" t="str">
        <f>"4) All A&amp;G Expenses, as shown on line "&amp;B145&amp;"."</f>
        <v>4) All A&amp;G Expenses, as shown on line 78.</v>
      </c>
      <c r="E296" s="396"/>
      <c r="F296" s="396"/>
      <c r="G296" s="396"/>
      <c r="H296" s="396"/>
      <c r="I296" s="396"/>
      <c r="J296" s="396"/>
      <c r="K296" s="396"/>
      <c r="L296" s="397"/>
      <c r="M296" s="177"/>
      <c r="N296" s="177"/>
      <c r="O296" s="177"/>
      <c r="P296" s="177"/>
      <c r="Q296" s="177"/>
      <c r="R296" s="177"/>
      <c r="S296" s="177"/>
      <c r="T296" s="177"/>
      <c r="U296" s="177"/>
    </row>
    <row r="297" spans="2:21" ht="15">
      <c r="B297" s="189"/>
      <c r="C297" s="190"/>
      <c r="D297" s="398"/>
      <c r="E297" s="400"/>
      <c r="F297" s="400"/>
      <c r="G297" s="400"/>
      <c r="H297" s="400"/>
      <c r="I297" s="400"/>
      <c r="J297" s="400"/>
      <c r="K297" s="400"/>
      <c r="L297" s="177"/>
      <c r="M297" s="177"/>
      <c r="N297" s="177"/>
      <c r="O297" s="177"/>
      <c r="P297" s="177"/>
      <c r="Q297" s="177"/>
      <c r="R297" s="177"/>
      <c r="S297" s="177"/>
      <c r="T297" s="177"/>
      <c r="U297" s="177"/>
    </row>
    <row r="298" spans="2:21" ht="15">
      <c r="B298" s="393" t="s">
        <v>454</v>
      </c>
      <c r="C298" s="267"/>
      <c r="D298" s="401" t="str">
        <f>"Consistent with Paragraph 657 of Order 2003-A, the amount on line "&amp;B108&amp;" is equal to the balance of IPP System Upgrade Credits owed to transmission customers that"</f>
        <v>Consistent with Paragraph 657 of Order 2003-A, the amount on line 57 is equal to the balance of IPP System Upgrade Credits owed to transmission customers that</v>
      </c>
      <c r="E298" s="401"/>
      <c r="F298" s="401"/>
      <c r="G298" s="401"/>
      <c r="H298" s="401"/>
      <c r="I298" s="401"/>
      <c r="J298" s="401"/>
      <c r="K298" s="401"/>
      <c r="L298" s="157"/>
      <c r="M298" s="177"/>
      <c r="N298" s="177"/>
      <c r="O298" s="177"/>
      <c r="P298" s="177"/>
      <c r="Q298" s="177"/>
      <c r="R298" s="177"/>
      <c r="S298" s="177"/>
      <c r="T298" s="177"/>
      <c r="U298" s="177"/>
    </row>
    <row r="299" spans="2:21" ht="15">
      <c r="B299" s="394"/>
      <c r="C299" s="157"/>
      <c r="D299" s="401" t="s">
        <v>510</v>
      </c>
      <c r="E299" s="401"/>
      <c r="F299" s="401"/>
      <c r="G299" s="401"/>
      <c r="H299" s="401"/>
      <c r="I299" s="401"/>
      <c r="J299" s="401"/>
      <c r="K299" s="401"/>
      <c r="L299" s="157"/>
      <c r="M299" s="177"/>
      <c r="N299" s="177"/>
      <c r="O299" s="177"/>
      <c r="P299" s="177"/>
      <c r="Q299" s="177"/>
      <c r="R299" s="177"/>
      <c r="S299" s="177"/>
      <c r="T299" s="177"/>
      <c r="U299" s="177"/>
    </row>
    <row r="300" spans="2:21" ht="15">
      <c r="B300" s="394"/>
      <c r="C300" s="157"/>
      <c r="D300" s="401" t="str">
        <f>"expense is included on line "&amp;B183&amp;"."</f>
        <v>expense is included on line 110.</v>
      </c>
      <c r="E300" s="401"/>
      <c r="F300" s="401"/>
      <c r="G300" s="401"/>
      <c r="H300" s="401"/>
      <c r="I300" s="401"/>
      <c r="J300" s="401"/>
      <c r="K300" s="401"/>
      <c r="L300" s="157"/>
      <c r="M300" s="177"/>
      <c r="N300" s="177"/>
      <c r="O300" s="177"/>
      <c r="P300" s="177"/>
      <c r="Q300" s="177"/>
      <c r="R300" s="177"/>
      <c r="S300" s="177"/>
      <c r="T300" s="177"/>
      <c r="U300" s="177"/>
    </row>
    <row r="301" spans="2:21" ht="21" customHeight="1">
      <c r="B301" s="394"/>
      <c r="C301" s="157"/>
      <c r="D301" s="401"/>
      <c r="E301" s="401"/>
      <c r="F301" s="401"/>
      <c r="G301" s="401"/>
      <c r="H301" s="401"/>
      <c r="I301" s="401"/>
      <c r="J301" s="401"/>
      <c r="K301" s="401"/>
      <c r="L301" s="157"/>
      <c r="M301" s="157"/>
      <c r="N301" s="177"/>
      <c r="O301" s="177"/>
      <c r="P301" s="177"/>
      <c r="Q301" s="177"/>
      <c r="R301" s="177"/>
      <c r="S301" s="177"/>
      <c r="T301" s="177"/>
      <c r="U301" s="177"/>
    </row>
    <row r="302" spans="2:21" ht="14.25" customHeight="1">
      <c r="B302" s="393" t="s">
        <v>455</v>
      </c>
      <c r="C302" s="157"/>
      <c r="D302" s="1414" t="str">
        <f>"Removes from the cost of service the Load Scheduling and Dispatch expenses booked to accounts 561.1 through 561.8.  Expenses recorded in these accounts, with the exception of 561.4 &amp; 561.8 (lines "&amp;B40&amp;" &amp; "&amp;B41&amp;" above) are recovered in Schedule 1A, OATT ancillary services rates. See Worksheet F, lines "&amp;'WS F Misc Exp'!A22&amp;" through "&amp;'WS F Misc Exp'!A31&amp;",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2" s="1414"/>
      <c r="F302" s="1414"/>
      <c r="G302" s="1414"/>
      <c r="H302" s="1414"/>
      <c r="I302" s="1414"/>
      <c r="J302" s="1414"/>
      <c r="K302" s="1414"/>
      <c r="L302" s="157"/>
      <c r="M302" s="157"/>
      <c r="N302" s="177"/>
      <c r="O302" s="177"/>
      <c r="P302" s="177"/>
      <c r="Q302" s="177"/>
      <c r="R302" s="177"/>
      <c r="S302" s="177"/>
      <c r="T302" s="177"/>
      <c r="U302" s="177"/>
    </row>
    <row r="303" spans="2:21" ht="45" customHeight="1">
      <c r="B303" s="393"/>
      <c r="C303" s="157"/>
      <c r="D303" s="1414"/>
      <c r="E303" s="1414"/>
      <c r="F303" s="1414"/>
      <c r="G303" s="1414"/>
      <c r="H303" s="1414"/>
      <c r="I303" s="1414"/>
      <c r="J303" s="1414"/>
      <c r="K303" s="1414"/>
      <c r="L303" s="157"/>
      <c r="M303" s="157"/>
      <c r="N303" s="177"/>
      <c r="O303" s="177"/>
      <c r="P303" s="177"/>
      <c r="Q303" s="177"/>
      <c r="R303" s="177"/>
      <c r="S303" s="177"/>
      <c r="T303" s="177"/>
      <c r="U303" s="177"/>
    </row>
    <row r="304" spans="2:21" ht="5.25" customHeight="1" hidden="1">
      <c r="B304" s="393"/>
      <c r="C304" s="157"/>
      <c r="D304" s="1414"/>
      <c r="E304" s="1414"/>
      <c r="F304" s="1414"/>
      <c r="G304" s="1414"/>
      <c r="H304" s="1414"/>
      <c r="I304" s="1414"/>
      <c r="J304" s="1414"/>
      <c r="K304" s="1414"/>
      <c r="L304" s="157"/>
      <c r="M304" s="157"/>
      <c r="N304" s="177"/>
      <c r="O304" s="177"/>
      <c r="P304" s="177"/>
      <c r="Q304" s="177"/>
      <c r="R304" s="177"/>
      <c r="S304" s="177"/>
      <c r="T304" s="177"/>
      <c r="U304" s="177"/>
    </row>
    <row r="305" spans="2:21" ht="15">
      <c r="B305" s="393"/>
      <c r="C305" s="157"/>
      <c r="D305" s="398"/>
      <c r="E305" s="401"/>
      <c r="F305" s="401"/>
      <c r="G305" s="401"/>
      <c r="H305" s="401"/>
      <c r="I305" s="401"/>
      <c r="J305" s="401"/>
      <c r="K305" s="401"/>
      <c r="L305" s="157"/>
      <c r="M305" s="157"/>
      <c r="N305" s="177"/>
      <c r="O305" s="177"/>
      <c r="P305" s="177"/>
      <c r="Q305" s="177"/>
      <c r="R305" s="177"/>
      <c r="S305" s="177"/>
      <c r="T305" s="177"/>
      <c r="U305" s="177"/>
    </row>
    <row r="306" spans="2:21" ht="15">
      <c r="B306" s="393" t="s">
        <v>456</v>
      </c>
      <c r="C306" s="157"/>
      <c r="D306" s="1417" t="str">
        <f>"Removes cost of transmission service provided by others to determine the basis of cash working capital on line "&amp;B132&amp;". To the extent such service is incurred to provide the PJM service at issue, e.g. lease payments to affiliates, such costs are added back on line "&amp;B148&amp;" to determine the total O&amp;M collected in the formula.  The amounts on line"&amp;B148&amp;" is also excluded in the calculation of the FCR percentage calculated on lines "&amp;B24&amp;" through "&amp;B32&amp;"."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06" s="1417"/>
      <c r="F306" s="1417"/>
      <c r="G306" s="1417"/>
      <c r="H306" s="1417"/>
      <c r="I306" s="1417"/>
      <c r="J306" s="1417"/>
      <c r="K306" s="1417"/>
      <c r="L306" s="157"/>
      <c r="M306" s="157"/>
      <c r="N306" s="177"/>
      <c r="O306" s="177"/>
      <c r="P306" s="177"/>
      <c r="Q306" s="177"/>
      <c r="R306" s="177"/>
      <c r="S306" s="177"/>
      <c r="T306" s="177"/>
      <c r="U306" s="177"/>
    </row>
    <row r="307" spans="2:21" ht="15">
      <c r="B307" s="393"/>
      <c r="C307" s="157"/>
      <c r="D307" s="1417"/>
      <c r="E307" s="1417"/>
      <c r="F307" s="1417"/>
      <c r="G307" s="1417"/>
      <c r="H307" s="1417"/>
      <c r="I307" s="1417"/>
      <c r="J307" s="1417"/>
      <c r="K307" s="1417"/>
      <c r="L307" s="157"/>
      <c r="M307" s="157"/>
      <c r="N307" s="177"/>
      <c r="O307" s="177"/>
      <c r="P307" s="177"/>
      <c r="Q307" s="177"/>
      <c r="R307" s="177"/>
      <c r="S307" s="177"/>
      <c r="T307" s="177"/>
      <c r="U307" s="177"/>
    </row>
    <row r="308" spans="2:21" ht="15">
      <c r="B308" s="393"/>
      <c r="C308" s="157"/>
      <c r="D308" s="1418"/>
      <c r="E308" s="1418"/>
      <c r="F308" s="1418"/>
      <c r="G308" s="1418"/>
      <c r="H308" s="1418"/>
      <c r="I308" s="1418"/>
      <c r="J308" s="1418"/>
      <c r="K308" s="1418"/>
      <c r="L308" s="157"/>
      <c r="M308" s="157"/>
      <c r="N308" s="177"/>
      <c r="O308" s="177"/>
      <c r="P308" s="177"/>
      <c r="Q308" s="177"/>
      <c r="R308" s="177"/>
      <c r="S308" s="177"/>
      <c r="T308" s="177"/>
      <c r="U308" s="177"/>
    </row>
    <row r="309" spans="2:21" ht="15">
      <c r="B309" s="393"/>
      <c r="C309" s="157"/>
      <c r="D309" s="1400" t="str">
        <f>"The addbacks  on line"&amp;B148&amp;"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09" s="1400"/>
      <c r="F309" s="1400"/>
      <c r="G309" s="1400"/>
      <c r="H309" s="1400"/>
      <c r="I309" s="1400"/>
      <c r="J309" s="1400"/>
      <c r="K309" s="402"/>
      <c r="L309" s="157"/>
      <c r="M309" s="157"/>
      <c r="N309" s="177"/>
      <c r="O309" s="177"/>
      <c r="P309" s="177"/>
      <c r="Q309" s="177"/>
      <c r="R309" s="177"/>
      <c r="S309" s="177"/>
      <c r="T309" s="177"/>
      <c r="U309" s="177"/>
    </row>
    <row r="310" spans="2:21" ht="15">
      <c r="B310" s="393"/>
      <c r="C310" s="157"/>
      <c r="D310" s="1400"/>
      <c r="E310" s="1400"/>
      <c r="F310" s="1400"/>
      <c r="G310" s="1400"/>
      <c r="H310" s="1400"/>
      <c r="I310" s="1400"/>
      <c r="J310" s="1400"/>
      <c r="K310" s="402"/>
      <c r="L310" s="157"/>
      <c r="M310" s="157"/>
      <c r="N310" s="177"/>
      <c r="O310" s="177"/>
      <c r="P310" s="177"/>
      <c r="Q310" s="177"/>
      <c r="R310" s="177"/>
      <c r="S310" s="177"/>
      <c r="T310" s="177"/>
      <c r="U310" s="177"/>
    </row>
    <row r="311" spans="2:21" ht="22.5" customHeight="1">
      <c r="B311" s="393"/>
      <c r="C311" s="157"/>
      <c r="D311" s="401" t="str">
        <f>"The company records referenced on line"&amp;B148&amp;" is the "&amp;F7&amp;" general ledger."</f>
        <v>The company records referenced on line80 is the AEP WEST VIRGINIA TRANSMISSION COMPANY general ledger.</v>
      </c>
      <c r="E311" s="403"/>
      <c r="F311" s="403"/>
      <c r="G311" s="403"/>
      <c r="H311" s="403"/>
      <c r="I311" s="403"/>
      <c r="J311" s="403"/>
      <c r="K311" s="402"/>
      <c r="L311" s="157"/>
      <c r="M311" s="157"/>
      <c r="N311" s="177"/>
      <c r="O311" s="177"/>
      <c r="P311" s="177"/>
      <c r="Q311" s="177"/>
      <c r="R311" s="177"/>
      <c r="S311" s="177"/>
      <c r="T311" s="177"/>
      <c r="U311" s="177"/>
    </row>
    <row r="312" spans="2:21" ht="15">
      <c r="B312" s="393"/>
      <c r="C312" s="157"/>
      <c r="D312" s="403"/>
      <c r="E312" s="403"/>
      <c r="F312" s="403"/>
      <c r="G312" s="403"/>
      <c r="H312" s="403"/>
      <c r="I312" s="403"/>
      <c r="J312" s="403"/>
      <c r="K312" s="403"/>
      <c r="L312" s="157"/>
      <c r="M312" s="157"/>
      <c r="N312" s="177"/>
      <c r="O312" s="177"/>
      <c r="P312" s="177"/>
      <c r="Q312" s="177"/>
      <c r="R312" s="177"/>
      <c r="S312" s="177"/>
      <c r="T312" s="177"/>
      <c r="U312" s="177"/>
    </row>
    <row r="313" spans="2:21" ht="15">
      <c r="B313" s="393" t="s">
        <v>457</v>
      </c>
      <c r="C313" s="157"/>
      <c r="D313" s="401" t="s">
        <v>608</v>
      </c>
      <c r="E313" s="205"/>
      <c r="F313" s="205"/>
      <c r="G313" s="205"/>
      <c r="H313" s="205"/>
      <c r="I313" s="205"/>
      <c r="J313" s="205"/>
      <c r="K313" s="205"/>
      <c r="L313" s="157"/>
      <c r="M313" s="157"/>
      <c r="N313" s="177"/>
      <c r="O313" s="177"/>
      <c r="P313" s="177"/>
      <c r="Q313" s="177"/>
      <c r="R313" s="177"/>
      <c r="S313" s="177"/>
      <c r="T313" s="177"/>
      <c r="U313" s="177"/>
    </row>
    <row r="314" spans="2:21" ht="15">
      <c r="B314" s="393"/>
      <c r="C314" s="157"/>
      <c r="D314" s="404"/>
      <c r="E314" s="404"/>
      <c r="F314" s="404"/>
      <c r="G314" s="404"/>
      <c r="H314" s="404"/>
      <c r="I314" s="404"/>
      <c r="J314" s="404"/>
      <c r="K314" s="404"/>
      <c r="L314" s="157"/>
      <c r="M314" s="157"/>
      <c r="N314" s="177"/>
      <c r="O314" s="177"/>
      <c r="P314" s="177"/>
      <c r="Q314" s="177"/>
      <c r="R314" s="177"/>
      <c r="S314" s="177"/>
      <c r="T314" s="177"/>
      <c r="U314" s="177"/>
    </row>
    <row r="315" spans="2:21" ht="15" customHeight="1">
      <c r="B315" s="393" t="s">
        <v>458</v>
      </c>
      <c r="C315" s="157"/>
      <c r="D315" s="1402" t="s">
        <v>8</v>
      </c>
      <c r="E315" s="1399"/>
      <c r="F315" s="1399"/>
      <c r="G315" s="1399"/>
      <c r="H315" s="1399"/>
      <c r="I315" s="1399"/>
      <c r="J315" s="1399"/>
      <c r="K315" s="401"/>
      <c r="L315" s="157"/>
      <c r="M315" s="157"/>
      <c r="N315" s="177"/>
      <c r="O315" s="177"/>
      <c r="P315" s="177"/>
      <c r="Q315" s="177"/>
      <c r="R315" s="177"/>
      <c r="S315" s="177"/>
      <c r="T315" s="177"/>
      <c r="U315" s="177"/>
    </row>
    <row r="316" spans="2:21" ht="15">
      <c r="B316" s="393"/>
      <c r="C316" s="157"/>
      <c r="D316" s="1403"/>
      <c r="E316" s="1403"/>
      <c r="F316" s="1403"/>
      <c r="G316" s="1403"/>
      <c r="H316" s="1403"/>
      <c r="I316" s="1403"/>
      <c r="J316" s="1403"/>
      <c r="K316" s="404"/>
      <c r="L316" s="157"/>
      <c r="M316" s="157"/>
      <c r="N316" s="177"/>
      <c r="O316" s="177"/>
      <c r="P316" s="177"/>
      <c r="Q316" s="177"/>
      <c r="R316" s="177"/>
      <c r="S316" s="177"/>
      <c r="T316" s="177"/>
      <c r="U316" s="177"/>
    </row>
    <row r="317" spans="2:21" ht="15">
      <c r="B317" s="393"/>
      <c r="C317" s="157"/>
      <c r="D317" s="1399"/>
      <c r="E317" s="1399"/>
      <c r="F317" s="1399"/>
      <c r="G317" s="1399"/>
      <c r="H317" s="1399"/>
      <c r="I317" s="1399"/>
      <c r="J317" s="1399"/>
      <c r="K317" s="401"/>
      <c r="L317" s="157"/>
      <c r="M317" s="157"/>
      <c r="N317" s="177"/>
      <c r="O317" s="177"/>
      <c r="P317" s="177"/>
      <c r="Q317" s="177"/>
      <c r="R317" s="177"/>
      <c r="S317" s="177"/>
      <c r="T317" s="177"/>
      <c r="U317" s="177"/>
    </row>
    <row r="318" spans="2:21" ht="15">
      <c r="B318" s="393"/>
      <c r="C318" s="157"/>
      <c r="D318" s="157"/>
      <c r="E318" s="157"/>
      <c r="F318" s="157"/>
      <c r="G318" s="157"/>
      <c r="H318" s="157"/>
      <c r="I318" s="157"/>
      <c r="J318" s="157"/>
      <c r="K318" s="157"/>
      <c r="L318" s="157"/>
      <c r="M318" s="157"/>
      <c r="N318" s="177"/>
      <c r="O318" s="177"/>
      <c r="P318" s="177"/>
      <c r="Q318" s="177"/>
      <c r="R318" s="177"/>
      <c r="S318" s="177"/>
      <c r="T318" s="177"/>
      <c r="U318" s="177"/>
    </row>
    <row r="319" spans="2:21" ht="15" customHeight="1">
      <c r="B319" s="189" t="s">
        <v>459</v>
      </c>
      <c r="C319" s="157"/>
      <c r="D319" s="1415" t="s">
        <v>813</v>
      </c>
      <c r="E319" s="1416"/>
      <c r="F319" s="1416"/>
      <c r="G319" s="1416"/>
      <c r="H319" s="1416"/>
      <c r="I319" s="1416"/>
      <c r="J319" s="1416"/>
      <c r="K319" s="1416"/>
      <c r="L319" s="157"/>
      <c r="M319" s="157"/>
      <c r="N319" s="177"/>
      <c r="O319" s="177"/>
      <c r="P319" s="177"/>
      <c r="Q319" s="177"/>
      <c r="R319" s="177"/>
      <c r="S319" s="177"/>
      <c r="T319" s="177"/>
      <c r="U319" s="177"/>
    </row>
    <row r="320" spans="2:21" ht="15">
      <c r="B320" s="393"/>
      <c r="C320" s="157"/>
      <c r="D320" s="157"/>
      <c r="E320" s="157"/>
      <c r="F320" s="157"/>
      <c r="G320" s="157"/>
      <c r="H320" s="157"/>
      <c r="I320" s="157"/>
      <c r="J320" s="157"/>
      <c r="K320" s="157"/>
      <c r="L320" s="157"/>
      <c r="M320" s="157"/>
      <c r="N320" s="177"/>
      <c r="O320" s="177"/>
      <c r="P320" s="177"/>
      <c r="Q320" s="177"/>
      <c r="R320" s="177"/>
      <c r="S320" s="177"/>
      <c r="T320" s="177"/>
      <c r="U320" s="177"/>
    </row>
    <row r="321" spans="2:21" ht="15">
      <c r="B321" s="189" t="s">
        <v>460</v>
      </c>
      <c r="C321" s="190"/>
      <c r="D321" s="201" t="s">
        <v>159</v>
      </c>
      <c r="E321" s="177"/>
      <c r="F321" s="177"/>
      <c r="G321" s="177"/>
      <c r="H321" s="177"/>
      <c r="I321" s="177"/>
      <c r="J321" s="177"/>
      <c r="K321" s="177"/>
      <c r="L321" s="177"/>
      <c r="M321" s="157"/>
      <c r="N321" s="177"/>
      <c r="O321" s="177"/>
      <c r="P321" s="177"/>
      <c r="Q321" s="177"/>
      <c r="R321" s="177"/>
      <c r="S321" s="177"/>
      <c r="T321" s="177"/>
      <c r="U321" s="177"/>
    </row>
    <row r="322" spans="2:21" ht="15">
      <c r="B322" s="189"/>
      <c r="C322" s="190"/>
      <c r="D322" s="201" t="s">
        <v>278</v>
      </c>
      <c r="E322" s="177"/>
      <c r="F322" s="177"/>
      <c r="G322" s="177"/>
      <c r="H322" s="177"/>
      <c r="I322" s="177"/>
      <c r="J322" s="177"/>
      <c r="K322" s="177"/>
      <c r="L322" s="177"/>
      <c r="M322" s="157"/>
      <c r="N322" s="177"/>
      <c r="O322" s="177"/>
      <c r="P322" s="177"/>
      <c r="Q322" s="177"/>
      <c r="R322" s="177"/>
      <c r="S322" s="177"/>
      <c r="T322" s="177"/>
      <c r="U322" s="177"/>
    </row>
    <row r="323" spans="2:21" ht="15">
      <c r="B323" s="189"/>
      <c r="C323" s="190"/>
      <c r="D323" s="201" t="s">
        <v>279</v>
      </c>
      <c r="E323" s="177"/>
      <c r="F323" s="177"/>
      <c r="G323" s="177"/>
      <c r="H323" s="177"/>
      <c r="I323" s="177"/>
      <c r="J323" s="177"/>
      <c r="K323" s="177"/>
      <c r="L323" s="177"/>
      <c r="M323" s="157"/>
      <c r="N323" s="177"/>
      <c r="O323" s="177"/>
      <c r="P323" s="177"/>
      <c r="Q323" s="177"/>
      <c r="R323" s="177"/>
      <c r="S323" s="177"/>
      <c r="T323" s="177"/>
      <c r="U323" s="177"/>
    </row>
    <row r="324" spans="2:21" ht="15">
      <c r="B324" s="189"/>
      <c r="C324" s="190"/>
      <c r="D324" s="157" t="s">
        <v>280</v>
      </c>
      <c r="E324" s="177"/>
      <c r="F324" s="177"/>
      <c r="G324" s="177"/>
      <c r="H324" s="177"/>
      <c r="I324" s="177"/>
      <c r="J324" s="177"/>
      <c r="K324" s="177"/>
      <c r="L324" s="177"/>
      <c r="M324" s="157"/>
      <c r="N324" s="177"/>
      <c r="O324" s="177"/>
      <c r="P324" s="177"/>
      <c r="Q324" s="177"/>
      <c r="R324" s="177"/>
      <c r="S324" s="177"/>
      <c r="T324" s="177"/>
      <c r="U324" s="177"/>
    </row>
    <row r="325" spans="2:21" ht="15">
      <c r="B325" s="189"/>
      <c r="C325" s="190"/>
      <c r="D325" s="157"/>
      <c r="E325" s="177"/>
      <c r="F325" s="177"/>
      <c r="G325" s="177"/>
      <c r="H325" s="177"/>
      <c r="I325" s="177"/>
      <c r="J325" s="177"/>
      <c r="K325" s="177"/>
      <c r="L325" s="177"/>
      <c r="M325" s="157"/>
      <c r="N325" s="177"/>
      <c r="O325" s="177"/>
      <c r="P325" s="177"/>
      <c r="Q325" s="177"/>
      <c r="R325" s="177"/>
      <c r="S325" s="177"/>
      <c r="T325" s="177"/>
      <c r="U325" s="177"/>
    </row>
    <row r="326" spans="2:21" ht="25.5" customHeight="1">
      <c r="B326" s="189" t="s">
        <v>461</v>
      </c>
      <c r="C326" s="190"/>
      <c r="D326" s="1401" t="s">
        <v>814</v>
      </c>
      <c r="E326" s="1401"/>
      <c r="F326" s="1401"/>
      <c r="G326" s="1401"/>
      <c r="H326" s="1401"/>
      <c r="I326" s="1401"/>
      <c r="J326" s="1401"/>
      <c r="K326" s="1401"/>
      <c r="L326" s="1401"/>
      <c r="M326" s="157"/>
      <c r="N326" s="177"/>
      <c r="O326" s="177"/>
      <c r="P326" s="177"/>
      <c r="Q326" s="177"/>
      <c r="R326" s="177"/>
      <c r="S326" s="177"/>
      <c r="T326" s="177"/>
      <c r="U326" s="177"/>
    </row>
    <row r="327" spans="2:21" ht="15">
      <c r="B327" s="189"/>
      <c r="C327" s="190"/>
      <c r="D327" s="1401"/>
      <c r="E327" s="1401"/>
      <c r="F327" s="1401"/>
      <c r="G327" s="1401"/>
      <c r="H327" s="1401"/>
      <c r="I327" s="1401"/>
      <c r="J327" s="1401"/>
      <c r="K327" s="1401"/>
      <c r="L327" s="1401"/>
      <c r="M327" s="157"/>
      <c r="N327" s="177"/>
      <c r="O327" s="177"/>
      <c r="P327" s="177"/>
      <c r="Q327" s="177"/>
      <c r="R327" s="177"/>
      <c r="S327" s="177"/>
      <c r="T327" s="177"/>
      <c r="U327" s="177"/>
    </row>
    <row r="328" spans="2:21" ht="15">
      <c r="B328" s="189"/>
      <c r="C328" s="190"/>
      <c r="D328" s="1401"/>
      <c r="E328" s="1401"/>
      <c r="F328" s="1401"/>
      <c r="G328" s="1401"/>
      <c r="H328" s="1401"/>
      <c r="I328" s="1401"/>
      <c r="J328" s="1401"/>
      <c r="K328" s="1401"/>
      <c r="L328" s="1401"/>
      <c r="M328" s="157"/>
      <c r="N328" s="177"/>
      <c r="O328" s="177"/>
      <c r="P328" s="177"/>
      <c r="Q328" s="177"/>
      <c r="R328" s="177"/>
      <c r="S328" s="177"/>
      <c r="T328" s="177"/>
      <c r="U328" s="177"/>
    </row>
    <row r="329" spans="2:21" ht="15">
      <c r="B329" s="189"/>
      <c r="C329" s="190"/>
      <c r="D329" s="405"/>
      <c r="E329" s="177"/>
      <c r="F329" s="177"/>
      <c r="G329" s="177"/>
      <c r="H329" s="177"/>
      <c r="I329" s="177"/>
      <c r="J329" s="177"/>
      <c r="K329" s="177"/>
      <c r="L329" s="177"/>
      <c r="M329" s="157"/>
      <c r="N329" s="177"/>
      <c r="O329" s="177"/>
      <c r="P329" s="177"/>
      <c r="Q329" s="177"/>
      <c r="R329" s="177"/>
      <c r="S329" s="177"/>
      <c r="T329" s="177"/>
      <c r="U329" s="177"/>
    </row>
    <row r="330" spans="2:21" ht="15">
      <c r="B330" s="266" t="s">
        <v>32</v>
      </c>
      <c r="C330" s="190"/>
      <c r="D330" s="201" t="s">
        <v>599</v>
      </c>
      <c r="E330" s="160"/>
      <c r="F330" s="160"/>
      <c r="G330" s="160"/>
      <c r="H330" s="160"/>
      <c r="I330" s="160"/>
      <c r="J330" s="160"/>
      <c r="K330" s="157"/>
      <c r="L330" s="157"/>
      <c r="M330" s="157"/>
      <c r="N330" s="177"/>
      <c r="O330" s="177"/>
      <c r="P330" s="177"/>
      <c r="Q330" s="177"/>
      <c r="R330" s="177"/>
      <c r="S330" s="177"/>
      <c r="T330" s="177"/>
      <c r="U330" s="177"/>
    </row>
    <row r="331" spans="2:21" ht="15">
      <c r="B331" s="266"/>
      <c r="C331" s="190"/>
      <c r="D331" s="160"/>
      <c r="E331" s="160"/>
      <c r="F331" s="160"/>
      <c r="G331" s="160"/>
      <c r="H331" s="160"/>
      <c r="I331" s="160"/>
      <c r="J331" s="160"/>
      <c r="K331" s="157"/>
      <c r="L331" s="157"/>
      <c r="M331" s="157"/>
      <c r="N331" s="177"/>
      <c r="O331" s="177"/>
      <c r="P331" s="177"/>
      <c r="Q331" s="177"/>
      <c r="R331" s="177"/>
      <c r="S331" s="177"/>
      <c r="T331" s="177"/>
      <c r="U331" s="177"/>
    </row>
    <row r="332" spans="2:21" ht="15">
      <c r="B332" s="189" t="s">
        <v>108</v>
      </c>
      <c r="C332" s="190"/>
      <c r="D332" s="201" t="s">
        <v>147</v>
      </c>
      <c r="E332" s="157"/>
      <c r="F332" s="157"/>
      <c r="G332" s="157"/>
      <c r="H332" s="157"/>
      <c r="I332" s="157"/>
      <c r="J332" s="157"/>
      <c r="K332" s="157"/>
      <c r="L332" s="157"/>
      <c r="M332" s="157"/>
      <c r="N332" s="177"/>
      <c r="O332" s="177"/>
      <c r="P332" s="177"/>
      <c r="Q332" s="177"/>
      <c r="R332" s="177"/>
      <c r="S332" s="177"/>
      <c r="T332" s="177"/>
      <c r="U332" s="177"/>
    </row>
    <row r="333" spans="2:21" ht="15">
      <c r="B333" s="266"/>
      <c r="C333" s="190"/>
      <c r="D333" s="201" t="s">
        <v>19</v>
      </c>
      <c r="E333" s="157"/>
      <c r="F333" s="157"/>
      <c r="G333" s="157"/>
      <c r="H333" s="157"/>
      <c r="I333" s="157"/>
      <c r="J333" s="157"/>
      <c r="K333" s="157"/>
      <c r="L333" s="157"/>
      <c r="M333" s="157"/>
      <c r="N333" s="177"/>
      <c r="O333" s="177"/>
      <c r="P333" s="177"/>
      <c r="Q333" s="177"/>
      <c r="R333" s="177"/>
      <c r="S333" s="177"/>
      <c r="T333" s="177"/>
      <c r="U333" s="177"/>
    </row>
    <row r="334" spans="2:21" ht="15">
      <c r="B334" s="266"/>
      <c r="C334" s="190"/>
      <c r="D334" s="201" t="s">
        <v>20</v>
      </c>
      <c r="E334" s="157"/>
      <c r="F334" s="157"/>
      <c r="G334" s="157"/>
      <c r="H334" s="157"/>
      <c r="I334" s="157"/>
      <c r="J334" s="157"/>
      <c r="K334" s="157"/>
      <c r="L334" s="157"/>
      <c r="M334" s="157"/>
      <c r="N334" s="177"/>
      <c r="O334" s="177"/>
      <c r="P334" s="177"/>
      <c r="Q334" s="177"/>
      <c r="R334" s="177"/>
      <c r="S334" s="177"/>
      <c r="T334" s="177"/>
      <c r="U334" s="177"/>
    </row>
    <row r="335" spans="2:21" ht="15">
      <c r="B335" s="266"/>
      <c r="C335" s="190"/>
      <c r="D335" s="201" t="s">
        <v>21</v>
      </c>
      <c r="E335" s="157"/>
      <c r="F335" s="157"/>
      <c r="G335" s="157"/>
      <c r="H335" s="157"/>
      <c r="I335" s="157"/>
      <c r="J335" s="157"/>
      <c r="K335" s="157"/>
      <c r="L335" s="157"/>
      <c r="M335" s="157"/>
      <c r="N335" s="177"/>
      <c r="O335" s="177"/>
      <c r="P335" s="177"/>
      <c r="Q335" s="177"/>
      <c r="R335" s="177"/>
      <c r="S335" s="177"/>
      <c r="T335" s="177"/>
      <c r="U335" s="177"/>
    </row>
    <row r="336" spans="2:21" ht="15">
      <c r="B336" s="189"/>
      <c r="C336" s="190"/>
      <c r="D336" s="201" t="str">
        <f>"(ln "&amp;B172&amp;") multiplied by (1/1-T) .  If the applicable tax rates are zero enter 0."</f>
        <v>(ln 101) multiplied by (1/1-T) .  If the applicable tax rates are zero enter 0.</v>
      </c>
      <c r="H336" s="157"/>
      <c r="I336" s="157"/>
      <c r="J336" s="157"/>
      <c r="K336" s="157"/>
      <c r="L336" s="157"/>
      <c r="M336" s="157"/>
      <c r="N336" s="177"/>
      <c r="O336" s="177"/>
      <c r="P336" s="177"/>
      <c r="Q336" s="177"/>
      <c r="R336" s="177"/>
      <c r="S336" s="177"/>
      <c r="T336" s="177"/>
      <c r="U336" s="177"/>
    </row>
    <row r="337" spans="2:21" ht="15">
      <c r="B337" s="406"/>
      <c r="C337" s="177"/>
      <c r="D337" s="201" t="s">
        <v>148</v>
      </c>
      <c r="E337" s="177" t="s">
        <v>149</v>
      </c>
      <c r="F337" s="146">
        <v>0.35</v>
      </c>
      <c r="G337" s="177"/>
      <c r="H337" s="157"/>
      <c r="I337" s="157"/>
      <c r="J337" s="157"/>
      <c r="K337" s="157"/>
      <c r="L337" s="157"/>
      <c r="M337" s="157"/>
      <c r="N337" s="177"/>
      <c r="O337" s="177"/>
      <c r="P337" s="177"/>
      <c r="Q337" s="177"/>
      <c r="R337" s="177"/>
      <c r="S337" s="177"/>
      <c r="T337" s="177"/>
      <c r="U337" s="177"/>
    </row>
    <row r="338" spans="2:21" ht="15">
      <c r="B338" s="406"/>
      <c r="C338" s="177"/>
      <c r="D338" s="201"/>
      <c r="E338" s="177" t="s">
        <v>150</v>
      </c>
      <c r="F338" s="395">
        <f>+'WS G  State Tax Rate'!F27</f>
        <v>0.065</v>
      </c>
      <c r="G338" s="177" t="s">
        <v>302</v>
      </c>
      <c r="H338" s="157"/>
      <c r="I338" s="157"/>
      <c r="J338" s="157"/>
      <c r="K338" s="157"/>
      <c r="L338" s="157"/>
      <c r="M338" s="157"/>
      <c r="N338" s="177"/>
      <c r="O338" s="177"/>
      <c r="P338" s="177"/>
      <c r="Q338" s="177"/>
      <c r="R338" s="177"/>
      <c r="S338" s="177"/>
      <c r="T338" s="177"/>
      <c r="U338" s="177"/>
    </row>
    <row r="339" spans="2:21" ht="15">
      <c r="B339" s="406"/>
      <c r="C339" s="177"/>
      <c r="D339" s="201"/>
      <c r="E339" s="177" t="s">
        <v>151</v>
      </c>
      <c r="F339" s="146">
        <v>0</v>
      </c>
      <c r="G339" s="177" t="s">
        <v>152</v>
      </c>
      <c r="H339" s="157"/>
      <c r="I339" s="157"/>
      <c r="J339" s="157"/>
      <c r="K339" s="157"/>
      <c r="L339" s="157"/>
      <c r="M339" s="157"/>
      <c r="N339" s="177"/>
      <c r="O339" s="177"/>
      <c r="P339" s="177"/>
      <c r="Q339" s="177"/>
      <c r="R339" s="177"/>
      <c r="S339" s="177"/>
      <c r="T339" s="177"/>
      <c r="U339" s="177"/>
    </row>
    <row r="340" spans="2:21" ht="46.5" customHeight="1">
      <c r="B340" s="266"/>
      <c r="C340" s="190"/>
      <c r="D340" s="1419" t="s">
        <v>609</v>
      </c>
      <c r="E340" s="1419"/>
      <c r="F340" s="1419"/>
      <c r="G340" s="1419"/>
      <c r="H340" s="1419"/>
      <c r="I340" s="1419"/>
      <c r="J340" s="1419"/>
      <c r="K340" s="157"/>
      <c r="L340" s="157"/>
      <c r="M340" s="177"/>
      <c r="N340" s="177"/>
      <c r="O340" s="177"/>
      <c r="P340" s="177"/>
      <c r="Q340" s="177"/>
      <c r="R340" s="177"/>
      <c r="S340" s="177"/>
      <c r="T340" s="177"/>
      <c r="U340" s="177"/>
    </row>
    <row r="341" spans="2:21" ht="15">
      <c r="B341" s="189" t="s">
        <v>153</v>
      </c>
      <c r="C341" s="190"/>
      <c r="D341" s="201" t="s">
        <v>550</v>
      </c>
      <c r="E341" s="157"/>
      <c r="F341" s="157"/>
      <c r="G341" s="157"/>
      <c r="H341" s="157"/>
      <c r="I341" s="157"/>
      <c r="J341" s="157"/>
      <c r="K341" s="157"/>
      <c r="L341" s="157"/>
      <c r="M341" s="157"/>
      <c r="N341" s="177"/>
      <c r="O341" s="177"/>
      <c r="P341" s="177"/>
      <c r="Q341" s="177"/>
      <c r="R341" s="177"/>
      <c r="S341" s="177"/>
      <c r="T341" s="177"/>
      <c r="U341" s="177"/>
    </row>
    <row r="342" spans="2:21" ht="15">
      <c r="B342" s="152"/>
      <c r="D342" s="201"/>
      <c r="E342" s="157"/>
      <c r="F342" s="157"/>
      <c r="G342" s="157"/>
      <c r="H342" s="157"/>
      <c r="I342" s="157"/>
      <c r="J342" s="157"/>
      <c r="K342" s="157"/>
      <c r="L342" s="157"/>
      <c r="M342" s="157"/>
      <c r="N342" s="177"/>
      <c r="O342" s="177"/>
      <c r="P342" s="177"/>
      <c r="Q342" s="177"/>
      <c r="R342" s="177"/>
      <c r="S342" s="177"/>
      <c r="T342" s="177"/>
      <c r="U342" s="177"/>
    </row>
    <row r="343" spans="2:21" ht="15">
      <c r="B343" s="189" t="s">
        <v>154</v>
      </c>
      <c r="C343" s="190"/>
      <c r="D343" s="201" t="s">
        <v>360</v>
      </c>
      <c r="E343" s="157"/>
      <c r="F343" s="157"/>
      <c r="G343" s="157"/>
      <c r="H343" s="157"/>
      <c r="I343" s="157"/>
      <c r="J343" s="157"/>
      <c r="K343" s="157"/>
      <c r="L343" s="157"/>
      <c r="M343" s="157"/>
      <c r="N343" s="177"/>
      <c r="O343" s="177"/>
      <c r="P343" s="177"/>
      <c r="Q343" s="177"/>
      <c r="R343" s="177"/>
      <c r="S343" s="177"/>
      <c r="T343" s="177"/>
      <c r="U343" s="177"/>
    </row>
    <row r="344" spans="2:21" ht="15">
      <c r="B344" s="189"/>
      <c r="C344" s="190"/>
      <c r="D344" s="201"/>
      <c r="E344" s="177"/>
      <c r="F344" s="177"/>
      <c r="G344" s="177"/>
      <c r="H344" s="177"/>
      <c r="I344" s="177"/>
      <c r="J344" s="177"/>
      <c r="K344" s="177"/>
      <c r="L344" s="177"/>
      <c r="M344" s="177"/>
      <c r="N344" s="177"/>
      <c r="O344" s="177"/>
      <c r="P344" s="177"/>
      <c r="Q344" s="177"/>
      <c r="R344" s="177"/>
      <c r="S344" s="177"/>
      <c r="T344" s="177"/>
      <c r="U344" s="177"/>
    </row>
    <row r="345" spans="2:21" ht="15">
      <c r="B345" s="189" t="s">
        <v>155</v>
      </c>
      <c r="C345" s="190"/>
      <c r="D345" s="201" t="s">
        <v>629</v>
      </c>
      <c r="E345" s="177"/>
      <c r="F345" s="177"/>
      <c r="G345" s="177"/>
      <c r="H345" s="177"/>
      <c r="I345" s="177"/>
      <c r="J345" s="177"/>
      <c r="K345" s="177"/>
      <c r="L345" s="177"/>
      <c r="M345" s="177"/>
      <c r="N345" s="177"/>
      <c r="O345" s="177"/>
      <c r="P345" s="177"/>
      <c r="Q345" s="177"/>
      <c r="R345" s="177"/>
      <c r="S345" s="177"/>
      <c r="T345" s="177"/>
      <c r="U345" s="177"/>
    </row>
    <row r="346" spans="2:21" ht="15">
      <c r="B346" s="189"/>
      <c r="C346" s="190"/>
      <c r="D346" s="201"/>
      <c r="E346" s="177"/>
      <c r="F346" s="177"/>
      <c r="G346" s="177"/>
      <c r="H346" s="177"/>
      <c r="I346" s="177"/>
      <c r="J346" s="177"/>
      <c r="K346" s="177"/>
      <c r="L346" s="177"/>
      <c r="M346" s="177"/>
      <c r="N346" s="177"/>
      <c r="O346" s="177"/>
      <c r="P346" s="177"/>
      <c r="Q346" s="177"/>
      <c r="R346" s="177"/>
      <c r="S346" s="177"/>
      <c r="T346" s="177"/>
      <c r="U346" s="177"/>
    </row>
    <row r="347" spans="2:21" ht="15.75" customHeight="1">
      <c r="B347" s="407" t="s">
        <v>156</v>
      </c>
      <c r="C347" s="408"/>
      <c r="D347" s="1420" t="str">
        <f>"Long Term Debt cost rate = long-term interest (Ln "&amp;B221&amp;")/average long term debt (Ln "&amp;B231&amp;").  Preferred Stock cost rate = preferred dividends (Ln "&amp;B222&amp;")/preferred outstanding (ln "&amp;B232&amp;")."</f>
        <v>Long Term Debt cost rate = long-term interest (Ln 128)/average long term debt (Ln 136).  Preferred Stock cost rate = preferred dividends (Ln 129)/preferred outstanding (ln 137).</v>
      </c>
      <c r="E347" s="1420"/>
      <c r="F347" s="1420"/>
      <c r="G347" s="1420"/>
      <c r="H347" s="1420"/>
      <c r="I347" s="1420"/>
      <c r="J347" s="1420"/>
      <c r="M347" s="169"/>
      <c r="N347" s="169"/>
      <c r="O347" s="177"/>
      <c r="P347" s="177"/>
      <c r="Q347" s="177"/>
      <c r="R347" s="177"/>
      <c r="S347" s="177"/>
      <c r="T347" s="177"/>
      <c r="U347" s="177"/>
    </row>
    <row r="348" spans="2:21" ht="15.75">
      <c r="B348" s="408"/>
      <c r="C348" s="408"/>
      <c r="D348" s="1420" t="s">
        <v>791</v>
      </c>
      <c r="E348" s="1420"/>
      <c r="F348" s="1420"/>
      <c r="G348" s="1420"/>
      <c r="H348" s="1420"/>
      <c r="I348" s="1420"/>
      <c r="J348" s="1420"/>
      <c r="M348" s="169"/>
      <c r="N348" s="169"/>
      <c r="O348" s="177"/>
      <c r="P348" s="177"/>
      <c r="Q348" s="177"/>
      <c r="R348" s="177"/>
      <c r="S348" s="177"/>
      <c r="T348" s="177"/>
      <c r="U348" s="177"/>
    </row>
    <row r="349" spans="2:21" ht="15.75">
      <c r="B349" s="408"/>
      <c r="C349" s="408"/>
      <c r="D349" s="1420"/>
      <c r="E349" s="1420"/>
      <c r="F349" s="1420"/>
      <c r="G349" s="1420"/>
      <c r="H349" s="1420"/>
      <c r="I349" s="1420"/>
      <c r="J349" s="1420"/>
      <c r="M349" s="169"/>
      <c r="N349" s="169"/>
      <c r="O349" s="177"/>
      <c r="P349" s="177"/>
      <c r="Q349" s="177"/>
      <c r="R349" s="177"/>
      <c r="S349" s="177"/>
      <c r="T349" s="177"/>
      <c r="U349" s="177"/>
    </row>
    <row r="350" spans="2:21" ht="95.25" customHeight="1">
      <c r="B350" s="408"/>
      <c r="C350" s="408"/>
      <c r="D350" s="1420"/>
      <c r="E350" s="1420"/>
      <c r="F350" s="1420"/>
      <c r="G350" s="1420"/>
      <c r="H350" s="1420"/>
      <c r="I350" s="1420"/>
      <c r="J350" s="1420"/>
      <c r="M350" s="169"/>
      <c r="N350" s="169"/>
      <c r="O350" s="177"/>
      <c r="P350" s="177"/>
      <c r="Q350" s="177"/>
      <c r="R350" s="177"/>
      <c r="S350" s="177"/>
      <c r="T350" s="177"/>
      <c r="U350" s="177"/>
    </row>
    <row r="351" spans="2:21" ht="0.75" customHeight="1" hidden="1">
      <c r="B351" s="408"/>
      <c r="C351" s="408"/>
      <c r="D351" s="1389"/>
      <c r="E351" s="1389"/>
      <c r="F351" s="1389"/>
      <c r="G351" s="1389"/>
      <c r="H351" s="1389"/>
      <c r="I351" s="1389"/>
      <c r="J351" s="1389"/>
      <c r="M351" s="169"/>
      <c r="N351" s="169"/>
      <c r="O351" s="177"/>
      <c r="P351" s="177"/>
      <c r="Q351" s="177"/>
      <c r="R351" s="177"/>
      <c r="S351" s="177"/>
      <c r="T351" s="177"/>
      <c r="U351" s="177"/>
    </row>
    <row r="352" spans="2:21" ht="54.75" customHeight="1" hidden="1">
      <c r="B352" s="408"/>
      <c r="C352" s="408"/>
      <c r="D352" s="1389"/>
      <c r="E352" s="1389"/>
      <c r="F352" s="1389"/>
      <c r="G352" s="1389"/>
      <c r="H352" s="1389"/>
      <c r="I352" s="1389"/>
      <c r="J352" s="1389"/>
      <c r="M352" s="169"/>
      <c r="N352" s="169"/>
      <c r="O352" s="177"/>
      <c r="P352" s="177"/>
      <c r="Q352" s="177"/>
      <c r="R352" s="177"/>
      <c r="S352" s="177"/>
      <c r="T352" s="177"/>
      <c r="U352" s="177"/>
    </row>
    <row r="353" spans="2:21" ht="16.5" customHeight="1">
      <c r="B353" s="408"/>
      <c r="C353" s="408"/>
      <c r="D353" s="1389"/>
      <c r="E353" s="1389"/>
      <c r="F353" s="1389"/>
      <c r="G353" s="1389"/>
      <c r="H353" s="1389"/>
      <c r="I353" s="1389"/>
      <c r="J353" s="1389"/>
      <c r="M353" s="169"/>
      <c r="N353" s="169"/>
      <c r="O353" s="177"/>
      <c r="P353" s="177"/>
      <c r="Q353" s="177"/>
      <c r="R353" s="177"/>
      <c r="S353" s="177"/>
      <c r="T353" s="177"/>
      <c r="U353" s="177"/>
    </row>
    <row r="354" spans="2:21" ht="98.25" customHeight="1">
      <c r="B354" s="189" t="s">
        <v>202</v>
      </c>
      <c r="C354" s="408"/>
      <c r="D354" s="1412" t="s">
        <v>776</v>
      </c>
      <c r="E354" s="1413"/>
      <c r="F354" s="1413"/>
      <c r="G354" s="1413"/>
      <c r="H354" s="1413"/>
      <c r="I354" s="1413"/>
      <c r="J354" s="1413"/>
      <c r="M354" s="177"/>
      <c r="N354" s="177"/>
      <c r="O354" s="177"/>
      <c r="P354" s="177"/>
      <c r="Q354" s="177"/>
      <c r="R354" s="177"/>
      <c r="S354" s="177"/>
      <c r="T354" s="177"/>
      <c r="U354" s="177"/>
    </row>
    <row r="355" spans="2:21" ht="15.75">
      <c r="B355" s="189"/>
      <c r="C355" s="408"/>
      <c r="D355" s="1389"/>
      <c r="E355" s="1390"/>
      <c r="F355" s="1390"/>
      <c r="G355" s="1390"/>
      <c r="H355" s="1390"/>
      <c r="I355" s="1390"/>
      <c r="J355" s="1390"/>
      <c r="M355" s="177"/>
      <c r="N355" s="177"/>
      <c r="O355" s="177"/>
      <c r="P355" s="177"/>
      <c r="Q355" s="177"/>
      <c r="R355" s="177"/>
      <c r="S355" s="177"/>
      <c r="T355" s="177"/>
      <c r="U355" s="177"/>
    </row>
    <row r="356" spans="2:21" ht="15">
      <c r="B356" s="189" t="s">
        <v>563</v>
      </c>
      <c r="C356" s="410"/>
      <c r="D356" s="1411" t="s">
        <v>611</v>
      </c>
      <c r="E356" s="1411"/>
      <c r="F356" s="1411"/>
      <c r="G356" s="1411"/>
      <c r="H356" s="1411"/>
      <c r="I356" s="1411"/>
      <c r="J356" s="1411"/>
      <c r="K356" s="411"/>
      <c r="M356" s="177"/>
      <c r="N356" s="177"/>
      <c r="O356" s="177"/>
      <c r="P356" s="177"/>
      <c r="Q356" s="177"/>
      <c r="R356" s="177"/>
      <c r="S356" s="177"/>
      <c r="T356" s="177"/>
      <c r="U356" s="177"/>
    </row>
    <row r="357" spans="2:21" ht="15">
      <c r="B357" s="189"/>
      <c r="C357" s="190"/>
      <c r="D357" s="152" t="s">
        <v>417</v>
      </c>
      <c r="M357" s="177"/>
      <c r="N357" s="177"/>
      <c r="O357" s="177"/>
      <c r="P357" s="177"/>
      <c r="Q357" s="177"/>
      <c r="R357" s="177"/>
      <c r="S357" s="177"/>
      <c r="T357" s="177"/>
      <c r="U357" s="177"/>
    </row>
    <row r="358" spans="2:21" ht="15">
      <c r="B358" s="189" t="s">
        <v>612</v>
      </c>
      <c r="C358" s="190"/>
      <c r="D358" s="152" t="s">
        <v>613</v>
      </c>
      <c r="M358" s="177"/>
      <c r="N358" s="177"/>
      <c r="O358" s="177"/>
      <c r="P358" s="177"/>
      <c r="Q358" s="177"/>
      <c r="R358" s="177"/>
      <c r="S358" s="177"/>
      <c r="T358" s="177"/>
      <c r="U358" s="177"/>
    </row>
    <row r="359" spans="2:21" ht="15">
      <c r="B359" s="189"/>
      <c r="C359" s="190"/>
      <c r="M359" s="177"/>
      <c r="N359" s="177"/>
      <c r="O359" s="177"/>
      <c r="P359" s="177"/>
      <c r="Q359" s="177"/>
      <c r="R359" s="177"/>
      <c r="S359" s="177"/>
      <c r="T359" s="177"/>
      <c r="U359" s="177"/>
    </row>
    <row r="360" spans="2:21" ht="30" customHeight="1">
      <c r="B360" s="189" t="s">
        <v>614</v>
      </c>
      <c r="C360" s="190"/>
      <c r="D360" s="1411" t="s">
        <v>615</v>
      </c>
      <c r="E360" s="1411"/>
      <c r="F360" s="1411"/>
      <c r="G360" s="1411"/>
      <c r="H360" s="1411"/>
      <c r="I360" s="1411"/>
      <c r="J360" s="1411"/>
      <c r="K360" s="1411"/>
      <c r="M360" s="177"/>
      <c r="N360" s="177"/>
      <c r="O360" s="177"/>
      <c r="P360" s="177"/>
      <c r="Q360" s="177"/>
      <c r="R360" s="177"/>
      <c r="S360" s="177"/>
      <c r="T360" s="177"/>
      <c r="U360" s="177"/>
    </row>
    <row r="361" spans="2:21" ht="15">
      <c r="B361" s="169"/>
      <c r="C361" s="169"/>
      <c r="D361" s="169"/>
      <c r="E361" s="169"/>
      <c r="F361" s="169"/>
      <c r="G361" s="169"/>
      <c r="H361" s="169"/>
      <c r="M361" s="177"/>
      <c r="N361" s="177"/>
      <c r="O361" s="177"/>
      <c r="P361" s="177"/>
      <c r="Q361" s="177"/>
      <c r="R361" s="177"/>
      <c r="S361" s="177"/>
      <c r="T361" s="177"/>
      <c r="U361" s="177"/>
    </row>
    <row r="362" spans="2:21" ht="46.5" customHeight="1">
      <c r="B362" s="268" t="s">
        <v>616</v>
      </c>
      <c r="C362" s="169"/>
      <c r="D362" s="1411" t="s">
        <v>620</v>
      </c>
      <c r="E362" s="1411"/>
      <c r="F362" s="1411"/>
      <c r="G362" s="1411"/>
      <c r="H362" s="1411"/>
      <c r="I362" s="1411"/>
      <c r="J362" s="1411"/>
      <c r="K362" s="1411"/>
      <c r="M362" s="177"/>
      <c r="N362" s="177"/>
      <c r="O362" s="177"/>
      <c r="P362" s="177"/>
      <c r="Q362" s="177"/>
      <c r="R362" s="177"/>
      <c r="S362" s="177"/>
      <c r="T362" s="177"/>
      <c r="U362" s="177"/>
    </row>
    <row r="363" spans="2:21" ht="15">
      <c r="B363" s="1232" t="s">
        <v>652</v>
      </c>
      <c r="C363" s="1233"/>
      <c r="D363" s="1234" t="s">
        <v>653</v>
      </c>
      <c r="E363" s="1235"/>
      <c r="F363" s="1235"/>
      <c r="G363" s="1235"/>
      <c r="H363" s="1012"/>
      <c r="M363" s="177"/>
      <c r="N363" s="177"/>
      <c r="O363" s="177"/>
      <c r="P363" s="177"/>
      <c r="Q363" s="177"/>
      <c r="R363" s="177"/>
      <c r="S363" s="177"/>
      <c r="T363" s="177"/>
      <c r="U363" s="177"/>
    </row>
    <row r="364" spans="2:21" ht="15">
      <c r="B364" s="189"/>
      <c r="C364" s="190"/>
      <c r="M364" s="177"/>
      <c r="N364" s="177"/>
      <c r="O364" s="177"/>
      <c r="P364" s="177"/>
      <c r="Q364" s="177"/>
      <c r="R364" s="177"/>
      <c r="S364" s="177"/>
      <c r="T364" s="177"/>
      <c r="U364" s="177"/>
    </row>
    <row r="365" spans="2:21" ht="15">
      <c r="B365" s="152"/>
      <c r="M365" s="177"/>
      <c r="N365" s="177"/>
      <c r="O365" s="177"/>
      <c r="P365" s="177"/>
      <c r="Q365" s="177"/>
      <c r="R365" s="177"/>
      <c r="S365" s="177"/>
      <c r="T365" s="177"/>
      <c r="U365" s="177"/>
    </row>
    <row r="366" spans="2:21" ht="15">
      <c r="B366" s="152"/>
      <c r="M366" s="177"/>
      <c r="N366" s="177"/>
      <c r="O366" s="177"/>
      <c r="P366" s="177"/>
      <c r="Q366" s="177"/>
      <c r="R366" s="177"/>
      <c r="S366" s="177"/>
      <c r="T366" s="177"/>
      <c r="U366" s="177"/>
    </row>
    <row r="367" spans="2:21" ht="15">
      <c r="B367" s="152"/>
      <c r="M367" s="177"/>
      <c r="N367" s="177"/>
      <c r="O367" s="177"/>
      <c r="P367" s="177"/>
      <c r="Q367" s="177"/>
      <c r="R367" s="177"/>
      <c r="S367" s="177"/>
      <c r="T367" s="177"/>
      <c r="U367" s="177"/>
    </row>
    <row r="368" spans="2:21" ht="15">
      <c r="B368" s="152"/>
      <c r="H368" s="177"/>
      <c r="I368" s="177"/>
      <c r="J368" s="177"/>
      <c r="K368" s="177"/>
      <c r="L368" s="177"/>
      <c r="M368" s="177"/>
      <c r="N368" s="177"/>
      <c r="O368" s="177"/>
      <c r="P368" s="177"/>
      <c r="Q368" s="177"/>
      <c r="R368" s="177"/>
      <c r="S368" s="177"/>
      <c r="T368" s="177"/>
      <c r="U368" s="177"/>
    </row>
    <row r="369" spans="2:21" ht="15">
      <c r="B369" s="152"/>
      <c r="H369" s="177"/>
      <c r="K369" s="177"/>
      <c r="L369" s="177"/>
      <c r="M369" s="177"/>
      <c r="N369" s="177"/>
      <c r="O369" s="177"/>
      <c r="P369" s="177"/>
      <c r="Q369" s="177"/>
      <c r="R369" s="177"/>
      <c r="S369" s="177"/>
      <c r="T369" s="177"/>
      <c r="U369" s="177"/>
    </row>
    <row r="370" spans="2:13" ht="15">
      <c r="B370" s="394"/>
      <c r="C370" s="157"/>
      <c r="D370" s="157"/>
      <c r="E370" s="157"/>
      <c r="F370" s="157"/>
      <c r="G370" s="157"/>
      <c r="H370" s="157"/>
      <c r="I370" s="157"/>
      <c r="J370" s="157"/>
      <c r="K370" s="157"/>
      <c r="L370" s="157"/>
      <c r="M370" s="157"/>
    </row>
    <row r="371" spans="2:13" ht="15">
      <c r="B371" s="394"/>
      <c r="C371" s="157"/>
      <c r="D371" s="157"/>
      <c r="E371" s="157"/>
      <c r="F371" s="157"/>
      <c r="G371" s="157"/>
      <c r="H371" s="157"/>
      <c r="I371" s="157"/>
      <c r="J371" s="157"/>
      <c r="K371" s="157"/>
      <c r="L371" s="157"/>
      <c r="M371" s="157"/>
    </row>
    <row r="372" spans="2:13" ht="15">
      <c r="B372" s="394"/>
      <c r="C372" s="157"/>
      <c r="D372" s="157"/>
      <c r="E372" s="157"/>
      <c r="F372" s="157"/>
      <c r="G372" s="157"/>
      <c r="H372" s="157"/>
      <c r="I372" s="157"/>
      <c r="J372" s="157"/>
      <c r="K372" s="157"/>
      <c r="L372" s="157"/>
      <c r="M372" s="157"/>
    </row>
    <row r="373" spans="2:13" ht="15">
      <c r="B373" s="394"/>
      <c r="C373" s="157"/>
      <c r="D373" s="157"/>
      <c r="E373" s="157"/>
      <c r="F373" s="157"/>
      <c r="G373" s="157"/>
      <c r="H373" s="157"/>
      <c r="I373" s="157"/>
      <c r="J373" s="157"/>
      <c r="K373" s="157"/>
      <c r="L373" s="157"/>
      <c r="M373" s="157"/>
    </row>
    <row r="374" spans="2:13" ht="15">
      <c r="B374" s="394"/>
      <c r="C374" s="157"/>
      <c r="D374" s="157"/>
      <c r="E374" s="157"/>
      <c r="F374" s="157"/>
      <c r="G374" s="157"/>
      <c r="H374" s="157"/>
      <c r="I374" s="157"/>
      <c r="J374" s="157"/>
      <c r="K374" s="157"/>
      <c r="L374" s="157"/>
      <c r="M374" s="157"/>
    </row>
    <row r="375" spans="2:13" ht="15">
      <c r="B375" s="394"/>
      <c r="C375" s="157"/>
      <c r="D375" s="157"/>
      <c r="E375" s="157"/>
      <c r="F375" s="157"/>
      <c r="G375" s="157"/>
      <c r="H375" s="157"/>
      <c r="I375" s="157"/>
      <c r="J375" s="157"/>
      <c r="K375" s="157"/>
      <c r="L375" s="157"/>
      <c r="M375" s="157"/>
    </row>
    <row r="376" spans="2:13" ht="15">
      <c r="B376" s="394"/>
      <c r="C376" s="157"/>
      <c r="D376" s="157"/>
      <c r="E376" s="157"/>
      <c r="F376" s="157"/>
      <c r="G376" s="157"/>
      <c r="H376" s="157"/>
      <c r="I376" s="157"/>
      <c r="J376" s="157"/>
      <c r="K376" s="157"/>
      <c r="L376" s="157"/>
      <c r="M376" s="157"/>
    </row>
    <row r="377" spans="2:13" ht="15">
      <c r="B377" s="394"/>
      <c r="C377" s="157"/>
      <c r="D377" s="157"/>
      <c r="E377" s="157"/>
      <c r="F377" s="157"/>
      <c r="G377" s="157"/>
      <c r="H377" s="157"/>
      <c r="I377" s="157"/>
      <c r="J377" s="157"/>
      <c r="K377" s="157"/>
      <c r="L377" s="157"/>
      <c r="M377" s="157"/>
    </row>
    <row r="378" spans="2:13" ht="15">
      <c r="B378" s="394"/>
      <c r="C378" s="157"/>
      <c r="D378" s="157"/>
      <c r="E378" s="157"/>
      <c r="F378" s="157"/>
      <c r="G378" s="157"/>
      <c r="H378" s="157"/>
      <c r="I378" s="157"/>
      <c r="J378" s="157"/>
      <c r="K378" s="157"/>
      <c r="L378" s="157"/>
      <c r="M378" s="157"/>
    </row>
    <row r="379" spans="2:13" ht="15">
      <c r="B379" s="394"/>
      <c r="C379" s="157"/>
      <c r="D379" s="157"/>
      <c r="E379" s="157"/>
      <c r="F379" s="157"/>
      <c r="G379" s="157"/>
      <c r="H379" s="157"/>
      <c r="I379" s="157"/>
      <c r="J379" s="157"/>
      <c r="K379" s="157"/>
      <c r="L379" s="157"/>
      <c r="M379" s="157"/>
    </row>
    <row r="380" spans="2:13" ht="15">
      <c r="B380" s="394"/>
      <c r="C380" s="157"/>
      <c r="D380" s="157"/>
      <c r="E380" s="157"/>
      <c r="F380" s="157"/>
      <c r="G380" s="157"/>
      <c r="H380" s="157"/>
      <c r="I380" s="157"/>
      <c r="J380" s="157"/>
      <c r="K380" s="157"/>
      <c r="L380" s="157"/>
      <c r="M380" s="157"/>
    </row>
    <row r="381" spans="2:13" ht="15">
      <c r="B381" s="394"/>
      <c r="C381" s="157"/>
      <c r="D381" s="157"/>
      <c r="E381" s="157"/>
      <c r="F381" s="157"/>
      <c r="G381" s="157"/>
      <c r="H381" s="157"/>
      <c r="I381" s="157"/>
      <c r="J381" s="157"/>
      <c r="K381" s="157"/>
      <c r="L381" s="157"/>
      <c r="M381" s="157"/>
    </row>
    <row r="382" spans="2:13" ht="15">
      <c r="B382" s="394"/>
      <c r="C382" s="157"/>
      <c r="D382" s="157"/>
      <c r="E382" s="157"/>
      <c r="F382" s="157"/>
      <c r="G382" s="157"/>
      <c r="H382" s="157"/>
      <c r="I382" s="157"/>
      <c r="J382" s="157"/>
      <c r="K382" s="157"/>
      <c r="L382" s="157"/>
      <c r="M382" s="157"/>
    </row>
    <row r="383" spans="2:13" ht="15">
      <c r="B383" s="394"/>
      <c r="C383" s="157"/>
      <c r="D383" s="157"/>
      <c r="E383" s="157"/>
      <c r="F383" s="157"/>
      <c r="G383" s="157"/>
      <c r="H383" s="157"/>
      <c r="I383" s="157"/>
      <c r="J383" s="157"/>
      <c r="K383" s="157"/>
      <c r="L383" s="157"/>
      <c r="M383" s="157"/>
    </row>
    <row r="384" spans="2:13" ht="15">
      <c r="B384" s="394"/>
      <c r="C384" s="157"/>
      <c r="D384" s="157"/>
      <c r="E384" s="157"/>
      <c r="F384" s="157"/>
      <c r="G384" s="157"/>
      <c r="H384" s="157"/>
      <c r="I384" s="157"/>
      <c r="J384" s="157"/>
      <c r="K384" s="157"/>
      <c r="L384" s="157"/>
      <c r="M384" s="157"/>
    </row>
    <row r="385" spans="2:13" ht="15">
      <c r="B385" s="394"/>
      <c r="C385" s="157"/>
      <c r="D385" s="157"/>
      <c r="E385" s="157"/>
      <c r="F385" s="157"/>
      <c r="G385" s="157"/>
      <c r="H385" s="157"/>
      <c r="I385" s="157"/>
      <c r="J385" s="157"/>
      <c r="K385" s="157"/>
      <c r="L385" s="157"/>
      <c r="M385" s="157"/>
    </row>
    <row r="386" spans="2:13" ht="15">
      <c r="B386" s="394"/>
      <c r="C386" s="157"/>
      <c r="D386" s="157"/>
      <c r="E386" s="157"/>
      <c r="F386" s="157"/>
      <c r="G386" s="157"/>
      <c r="H386" s="157"/>
      <c r="I386" s="157"/>
      <c r="J386" s="157"/>
      <c r="K386" s="157"/>
      <c r="L386" s="157"/>
      <c r="M386" s="157"/>
    </row>
    <row r="387" spans="2:13" ht="15">
      <c r="B387" s="394"/>
      <c r="C387" s="157"/>
      <c r="D387" s="157"/>
      <c r="E387" s="157"/>
      <c r="F387" s="157"/>
      <c r="G387" s="157"/>
      <c r="H387" s="157"/>
      <c r="I387" s="157"/>
      <c r="J387" s="157"/>
      <c r="K387" s="157"/>
      <c r="L387" s="157"/>
      <c r="M387" s="157"/>
    </row>
    <row r="388" spans="2:13" ht="15">
      <c r="B388" s="394"/>
      <c r="C388" s="157"/>
      <c r="D388" s="157"/>
      <c r="E388" s="157"/>
      <c r="F388" s="157"/>
      <c r="G388" s="157"/>
      <c r="H388" s="157"/>
      <c r="I388" s="157"/>
      <c r="J388" s="157"/>
      <c r="K388" s="157"/>
      <c r="L388" s="157"/>
      <c r="M388" s="157"/>
    </row>
    <row r="389" spans="2:13" ht="15">
      <c r="B389" s="394"/>
      <c r="C389" s="157"/>
      <c r="D389" s="157"/>
      <c r="E389" s="157"/>
      <c r="F389" s="157"/>
      <c r="G389" s="157"/>
      <c r="H389" s="157"/>
      <c r="I389" s="157"/>
      <c r="J389" s="157"/>
      <c r="K389" s="157"/>
      <c r="L389" s="157"/>
      <c r="M389" s="157"/>
    </row>
    <row r="390" spans="2:13" ht="15">
      <c r="B390" s="394"/>
      <c r="C390" s="157"/>
      <c r="D390" s="157"/>
      <c r="E390" s="157"/>
      <c r="F390" s="157"/>
      <c r="G390" s="157"/>
      <c r="H390" s="157"/>
      <c r="I390" s="157"/>
      <c r="J390" s="157"/>
      <c r="K390" s="157"/>
      <c r="L390" s="157"/>
      <c r="M390" s="157"/>
    </row>
    <row r="391" spans="2:13" ht="15">
      <c r="B391" s="394"/>
      <c r="C391" s="157"/>
      <c r="D391" s="157"/>
      <c r="E391" s="157"/>
      <c r="F391" s="157"/>
      <c r="G391" s="157"/>
      <c r="H391" s="157"/>
      <c r="I391" s="157"/>
      <c r="J391" s="157"/>
      <c r="K391" s="157"/>
      <c r="L391" s="157"/>
      <c r="M391" s="157"/>
    </row>
    <row r="392" spans="2:13" ht="15">
      <c r="B392" s="394"/>
      <c r="C392" s="157"/>
      <c r="D392" s="157"/>
      <c r="E392" s="157"/>
      <c r="F392" s="157"/>
      <c r="G392" s="157"/>
      <c r="H392" s="157"/>
      <c r="I392" s="157"/>
      <c r="J392" s="157"/>
      <c r="K392" s="157"/>
      <c r="L392" s="157"/>
      <c r="M392" s="157"/>
    </row>
    <row r="393" spans="2:13" ht="15">
      <c r="B393" s="394"/>
      <c r="C393" s="157"/>
      <c r="D393" s="157"/>
      <c r="E393" s="157"/>
      <c r="F393" s="157"/>
      <c r="G393" s="157"/>
      <c r="H393" s="157"/>
      <c r="I393" s="157"/>
      <c r="J393" s="157"/>
      <c r="K393" s="157"/>
      <c r="L393" s="157"/>
      <c r="M393" s="157"/>
    </row>
    <row r="394" spans="2:13" ht="15">
      <c r="B394" s="394"/>
      <c r="C394" s="157"/>
      <c r="D394" s="157"/>
      <c r="E394" s="157"/>
      <c r="F394" s="157"/>
      <c r="G394" s="157"/>
      <c r="H394" s="157"/>
      <c r="I394" s="157"/>
      <c r="J394" s="157"/>
      <c r="K394" s="157"/>
      <c r="L394" s="157"/>
      <c r="M394" s="157"/>
    </row>
    <row r="395" spans="2:13" ht="15">
      <c r="B395" s="394"/>
      <c r="C395" s="157"/>
      <c r="D395" s="157"/>
      <c r="E395" s="157"/>
      <c r="F395" s="157"/>
      <c r="G395" s="157"/>
      <c r="H395" s="157"/>
      <c r="I395" s="157"/>
      <c r="J395" s="157"/>
      <c r="K395" s="157"/>
      <c r="L395" s="157"/>
      <c r="M395" s="157"/>
    </row>
    <row r="396" spans="2:13" ht="15">
      <c r="B396" s="394"/>
      <c r="C396" s="157"/>
      <c r="D396" s="157"/>
      <c r="E396" s="157"/>
      <c r="F396" s="157"/>
      <c r="G396" s="157"/>
      <c r="H396" s="157"/>
      <c r="I396" s="157"/>
      <c r="J396" s="157"/>
      <c r="K396" s="157"/>
      <c r="L396" s="157"/>
      <c r="M396" s="157"/>
    </row>
    <row r="397" spans="2:13" ht="15">
      <c r="B397" s="394"/>
      <c r="C397" s="157"/>
      <c r="D397" s="157"/>
      <c r="E397" s="157"/>
      <c r="F397" s="157"/>
      <c r="G397" s="157"/>
      <c r="H397" s="157"/>
      <c r="I397" s="157"/>
      <c r="J397" s="157"/>
      <c r="K397" s="157"/>
      <c r="L397" s="157"/>
      <c r="M397" s="157"/>
    </row>
    <row r="398" spans="2:13" ht="15">
      <c r="B398" s="394"/>
      <c r="C398" s="157"/>
      <c r="D398" s="157"/>
      <c r="E398" s="157"/>
      <c r="F398" s="157"/>
      <c r="G398" s="157"/>
      <c r="H398" s="157"/>
      <c r="I398" s="157"/>
      <c r="J398" s="157"/>
      <c r="K398" s="157"/>
      <c r="L398" s="157"/>
      <c r="M398" s="157"/>
    </row>
    <row r="399" spans="2:13" ht="15">
      <c r="B399" s="394"/>
      <c r="C399" s="157"/>
      <c r="D399" s="157"/>
      <c r="E399" s="157"/>
      <c r="F399" s="157"/>
      <c r="G399" s="157"/>
      <c r="H399" s="157"/>
      <c r="I399" s="157"/>
      <c r="J399" s="157"/>
      <c r="K399" s="157"/>
      <c r="L399" s="157"/>
      <c r="M399" s="157"/>
    </row>
    <row r="400" spans="2:13" ht="15">
      <c r="B400" s="394"/>
      <c r="C400" s="157"/>
      <c r="D400" s="157"/>
      <c r="E400" s="157"/>
      <c r="F400" s="157"/>
      <c r="G400" s="157"/>
      <c r="H400" s="157"/>
      <c r="I400" s="157"/>
      <c r="J400" s="157"/>
      <c r="K400" s="157"/>
      <c r="L400" s="157"/>
      <c r="M400" s="157"/>
    </row>
    <row r="401" spans="2:13" ht="15">
      <c r="B401" s="394"/>
      <c r="C401" s="157"/>
      <c r="D401" s="157"/>
      <c r="E401" s="157"/>
      <c r="F401" s="157"/>
      <c r="G401" s="157"/>
      <c r="H401" s="157"/>
      <c r="I401" s="157"/>
      <c r="J401" s="157"/>
      <c r="K401" s="157"/>
      <c r="L401" s="157"/>
      <c r="M401" s="157"/>
    </row>
    <row r="402" spans="2:13" ht="15">
      <c r="B402" s="394"/>
      <c r="C402" s="157"/>
      <c r="D402" s="157"/>
      <c r="E402" s="157"/>
      <c r="F402" s="157"/>
      <c r="G402" s="157"/>
      <c r="H402" s="157"/>
      <c r="I402" s="157"/>
      <c r="J402" s="157"/>
      <c r="K402" s="157"/>
      <c r="L402" s="157"/>
      <c r="M402" s="157"/>
    </row>
    <row r="403" spans="2:13" ht="15">
      <c r="B403" s="394"/>
      <c r="C403" s="157"/>
      <c r="D403" s="157"/>
      <c r="E403" s="157"/>
      <c r="F403" s="157"/>
      <c r="G403" s="157"/>
      <c r="H403" s="157"/>
      <c r="I403" s="157"/>
      <c r="J403" s="157"/>
      <c r="K403" s="157"/>
      <c r="L403" s="157"/>
      <c r="M403" s="157"/>
    </row>
    <row r="404" spans="2:13" ht="15">
      <c r="B404" s="394"/>
      <c r="C404" s="157"/>
      <c r="D404" s="157"/>
      <c r="E404" s="157"/>
      <c r="F404" s="157"/>
      <c r="G404" s="157"/>
      <c r="H404" s="157"/>
      <c r="I404" s="157"/>
      <c r="J404" s="157"/>
      <c r="K404" s="157"/>
      <c r="L404" s="157"/>
      <c r="M404" s="157"/>
    </row>
    <row r="405" spans="2:13" ht="15">
      <c r="B405" s="394"/>
      <c r="C405" s="157"/>
      <c r="D405" s="157"/>
      <c r="E405" s="157"/>
      <c r="F405" s="157"/>
      <c r="G405" s="157"/>
      <c r="H405" s="157"/>
      <c r="I405" s="157"/>
      <c r="J405" s="157"/>
      <c r="K405" s="157"/>
      <c r="L405" s="157"/>
      <c r="M405" s="157"/>
    </row>
    <row r="406" spans="2:13" ht="15">
      <c r="B406" s="394"/>
      <c r="C406" s="157"/>
      <c r="D406" s="157"/>
      <c r="E406" s="157"/>
      <c r="F406" s="157"/>
      <c r="G406" s="157"/>
      <c r="H406" s="157"/>
      <c r="I406" s="157"/>
      <c r="J406" s="157"/>
      <c r="K406" s="157"/>
      <c r="L406" s="157"/>
      <c r="M406" s="157"/>
    </row>
    <row r="407" spans="2:13" ht="15">
      <c r="B407" s="394"/>
      <c r="C407" s="157"/>
      <c r="D407" s="157"/>
      <c r="E407" s="157"/>
      <c r="F407" s="157"/>
      <c r="G407" s="157"/>
      <c r="H407" s="157"/>
      <c r="I407" s="157"/>
      <c r="J407" s="157"/>
      <c r="K407" s="157"/>
      <c r="L407" s="157"/>
      <c r="M407" s="157"/>
    </row>
    <row r="408" spans="2:13" ht="15">
      <c r="B408" s="394"/>
      <c r="C408" s="157"/>
      <c r="D408" s="157"/>
      <c r="E408" s="157"/>
      <c r="F408" s="157"/>
      <c r="G408" s="157"/>
      <c r="H408" s="157"/>
      <c r="I408" s="157"/>
      <c r="J408" s="157"/>
      <c r="K408" s="157"/>
      <c r="L408" s="157"/>
      <c r="M408" s="157"/>
    </row>
    <row r="409" spans="2:13" ht="15">
      <c r="B409" s="394"/>
      <c r="C409" s="157"/>
      <c r="D409" s="157"/>
      <c r="E409" s="157"/>
      <c r="F409" s="157"/>
      <c r="G409" s="157"/>
      <c r="H409" s="157"/>
      <c r="I409" s="157"/>
      <c r="J409" s="157"/>
      <c r="K409" s="157"/>
      <c r="L409" s="157"/>
      <c r="M409" s="157"/>
    </row>
    <row r="410" spans="2:13" ht="15">
      <c r="B410" s="394"/>
      <c r="C410" s="157"/>
      <c r="D410" s="157"/>
      <c r="E410" s="157"/>
      <c r="F410" s="157"/>
      <c r="G410" s="157"/>
      <c r="H410" s="157"/>
      <c r="I410" s="157"/>
      <c r="J410" s="157"/>
      <c r="K410" s="157"/>
      <c r="L410" s="157"/>
      <c r="M410" s="157"/>
    </row>
    <row r="411" spans="2:13" ht="15">
      <c r="B411" s="394"/>
      <c r="C411" s="157"/>
      <c r="D411" s="157"/>
      <c r="E411" s="157"/>
      <c r="F411" s="157"/>
      <c r="G411" s="157"/>
      <c r="H411" s="157"/>
      <c r="I411" s="157"/>
      <c r="J411" s="157"/>
      <c r="K411" s="157"/>
      <c r="L411" s="157"/>
      <c r="M411" s="157"/>
    </row>
    <row r="412" spans="2:13" ht="15">
      <c r="B412" s="394"/>
      <c r="C412" s="157"/>
      <c r="D412" s="157"/>
      <c r="E412" s="157"/>
      <c r="F412" s="157"/>
      <c r="G412" s="157"/>
      <c r="H412" s="157"/>
      <c r="I412" s="157"/>
      <c r="J412" s="157"/>
      <c r="K412" s="157"/>
      <c r="L412" s="157"/>
      <c r="M412" s="157"/>
    </row>
    <row r="413" spans="2:13" ht="15">
      <c r="B413" s="394"/>
      <c r="C413" s="157"/>
      <c r="D413" s="157"/>
      <c r="E413" s="157"/>
      <c r="F413" s="157"/>
      <c r="G413" s="157"/>
      <c r="H413" s="157"/>
      <c r="I413" s="157"/>
      <c r="J413" s="157"/>
      <c r="K413" s="157"/>
      <c r="L413" s="157"/>
      <c r="M413" s="157"/>
    </row>
    <row r="414" spans="2:13" ht="15">
      <c r="B414" s="394"/>
      <c r="C414" s="157"/>
      <c r="D414" s="157"/>
      <c r="E414" s="157"/>
      <c r="F414" s="157"/>
      <c r="G414" s="157"/>
      <c r="H414" s="157"/>
      <c r="I414" s="157"/>
      <c r="J414" s="157"/>
      <c r="K414" s="157"/>
      <c r="L414" s="157"/>
      <c r="M414" s="157"/>
    </row>
    <row r="415" spans="2:13" ht="15">
      <c r="B415" s="394"/>
      <c r="C415" s="157"/>
      <c r="D415" s="157"/>
      <c r="E415" s="157"/>
      <c r="F415" s="157"/>
      <c r="G415" s="157"/>
      <c r="H415" s="157"/>
      <c r="I415" s="157"/>
      <c r="J415" s="157"/>
      <c r="K415" s="157"/>
      <c r="L415" s="157"/>
      <c r="M415" s="157"/>
    </row>
    <row r="416" spans="2:13" ht="15">
      <c r="B416" s="394"/>
      <c r="C416" s="157"/>
      <c r="D416" s="157"/>
      <c r="E416" s="157"/>
      <c r="F416" s="157"/>
      <c r="G416" s="157"/>
      <c r="H416" s="157"/>
      <c r="I416" s="157"/>
      <c r="J416" s="157"/>
      <c r="K416" s="157"/>
      <c r="L416" s="157"/>
      <c r="M416" s="157"/>
    </row>
    <row r="417" spans="2:13" ht="15">
      <c r="B417" s="394"/>
      <c r="C417" s="157"/>
      <c r="D417" s="157"/>
      <c r="E417" s="157"/>
      <c r="F417" s="157"/>
      <c r="G417" s="157"/>
      <c r="H417" s="157"/>
      <c r="I417" s="157"/>
      <c r="J417" s="157"/>
      <c r="K417" s="157"/>
      <c r="L417" s="157"/>
      <c r="M417" s="157"/>
    </row>
    <row r="418" spans="2:13" ht="15">
      <c r="B418" s="394"/>
      <c r="C418" s="157"/>
      <c r="D418" s="157"/>
      <c r="E418" s="157"/>
      <c r="F418" s="157"/>
      <c r="G418" s="157"/>
      <c r="H418" s="157"/>
      <c r="I418" s="157"/>
      <c r="J418" s="157"/>
      <c r="K418" s="157"/>
      <c r="L418" s="157"/>
      <c r="M418" s="157"/>
    </row>
    <row r="419" spans="2:13" ht="15">
      <c r="B419" s="394"/>
      <c r="C419" s="157"/>
      <c r="D419" s="157"/>
      <c r="E419" s="157"/>
      <c r="F419" s="157"/>
      <c r="G419" s="157"/>
      <c r="H419" s="157"/>
      <c r="I419" s="157"/>
      <c r="J419" s="157"/>
      <c r="K419" s="157"/>
      <c r="L419" s="157"/>
      <c r="M419" s="157"/>
    </row>
    <row r="420" spans="2:13" ht="15">
      <c r="B420" s="394"/>
      <c r="C420" s="157"/>
      <c r="D420" s="157"/>
      <c r="E420" s="157"/>
      <c r="F420" s="157"/>
      <c r="G420" s="157"/>
      <c r="H420" s="157"/>
      <c r="I420" s="157"/>
      <c r="J420" s="157"/>
      <c r="K420" s="157"/>
      <c r="L420" s="157"/>
      <c r="M420" s="157"/>
    </row>
    <row r="421" spans="2:13" ht="15">
      <c r="B421" s="394"/>
      <c r="C421" s="157"/>
      <c r="D421" s="157"/>
      <c r="E421" s="157"/>
      <c r="F421" s="157"/>
      <c r="G421" s="157"/>
      <c r="H421" s="157"/>
      <c r="I421" s="157"/>
      <c r="J421" s="157"/>
      <c r="K421" s="157"/>
      <c r="L421" s="157"/>
      <c r="M421" s="157"/>
    </row>
    <row r="422" spans="2:13" ht="15">
      <c r="B422" s="394"/>
      <c r="C422" s="157"/>
      <c r="D422" s="157"/>
      <c r="E422" s="157"/>
      <c r="F422" s="157"/>
      <c r="G422" s="157"/>
      <c r="H422" s="157"/>
      <c r="I422" s="157"/>
      <c r="J422" s="157"/>
      <c r="K422" s="157"/>
      <c r="L422" s="157"/>
      <c r="M422" s="157"/>
    </row>
    <row r="423" spans="2:13" ht="15">
      <c r="B423" s="394"/>
      <c r="C423" s="157"/>
      <c r="D423" s="157"/>
      <c r="E423" s="157"/>
      <c r="F423" s="157"/>
      <c r="G423" s="157"/>
      <c r="H423" s="157"/>
      <c r="I423" s="157"/>
      <c r="J423" s="157"/>
      <c r="K423" s="157"/>
      <c r="L423" s="157"/>
      <c r="M423" s="157"/>
    </row>
    <row r="424" spans="2:13" ht="15">
      <c r="B424" s="394"/>
      <c r="C424" s="157"/>
      <c r="D424" s="157"/>
      <c r="E424" s="157"/>
      <c r="F424" s="157"/>
      <c r="G424" s="157"/>
      <c r="H424" s="157"/>
      <c r="I424" s="157"/>
      <c r="J424" s="157"/>
      <c r="K424" s="157"/>
      <c r="L424" s="157"/>
      <c r="M424" s="157"/>
    </row>
    <row r="425" spans="2:13" ht="15">
      <c r="B425" s="394"/>
      <c r="C425" s="157"/>
      <c r="D425" s="157"/>
      <c r="E425" s="157"/>
      <c r="F425" s="157"/>
      <c r="G425" s="157"/>
      <c r="H425" s="157"/>
      <c r="I425" s="157"/>
      <c r="J425" s="157"/>
      <c r="K425" s="157"/>
      <c r="L425" s="157"/>
      <c r="M425" s="157"/>
    </row>
    <row r="426" spans="2:13" ht="15">
      <c r="B426" s="394"/>
      <c r="C426" s="157"/>
      <c r="D426" s="157"/>
      <c r="E426" s="157"/>
      <c r="F426" s="157"/>
      <c r="G426" s="157"/>
      <c r="H426" s="157"/>
      <c r="I426" s="157"/>
      <c r="J426" s="157"/>
      <c r="K426" s="157"/>
      <c r="L426" s="157"/>
      <c r="M426" s="157"/>
    </row>
    <row r="427" spans="2:13" ht="15">
      <c r="B427" s="394"/>
      <c r="C427" s="157"/>
      <c r="D427" s="157"/>
      <c r="E427" s="157"/>
      <c r="F427" s="157"/>
      <c r="G427" s="157"/>
      <c r="H427" s="157"/>
      <c r="I427" s="157"/>
      <c r="J427" s="157"/>
      <c r="K427" s="157"/>
      <c r="L427" s="157"/>
      <c r="M427" s="157"/>
    </row>
    <row r="428" spans="2:13" ht="15">
      <c r="B428" s="394"/>
      <c r="C428" s="157"/>
      <c r="D428" s="157"/>
      <c r="E428" s="157"/>
      <c r="F428" s="157"/>
      <c r="G428" s="157"/>
      <c r="H428" s="157"/>
      <c r="I428" s="157"/>
      <c r="J428" s="157"/>
      <c r="K428" s="157"/>
      <c r="L428" s="157"/>
      <c r="M428" s="157"/>
    </row>
    <row r="429" spans="2:13" ht="15">
      <c r="B429" s="394"/>
      <c r="C429" s="157"/>
      <c r="D429" s="157"/>
      <c r="E429" s="157"/>
      <c r="F429" s="157"/>
      <c r="G429" s="157"/>
      <c r="H429" s="157"/>
      <c r="I429" s="157"/>
      <c r="J429" s="157"/>
      <c r="K429" s="157"/>
      <c r="L429" s="157"/>
      <c r="M429" s="157"/>
    </row>
    <row r="430" spans="2:13" ht="15">
      <c r="B430" s="394"/>
      <c r="C430" s="157"/>
      <c r="D430" s="157"/>
      <c r="E430" s="157"/>
      <c r="F430" s="157"/>
      <c r="G430" s="157"/>
      <c r="H430" s="157"/>
      <c r="I430" s="157"/>
      <c r="J430" s="157"/>
      <c r="K430" s="157"/>
      <c r="L430" s="157"/>
      <c r="M430" s="157"/>
    </row>
    <row r="431" spans="2:13" ht="15">
      <c r="B431" s="394"/>
      <c r="C431" s="157"/>
      <c r="D431" s="157"/>
      <c r="E431" s="157"/>
      <c r="F431" s="157"/>
      <c r="G431" s="157"/>
      <c r="H431" s="157"/>
      <c r="I431" s="157"/>
      <c r="J431" s="157"/>
      <c r="K431" s="157"/>
      <c r="L431" s="157"/>
      <c r="M431" s="157"/>
    </row>
    <row r="432" spans="2:13" ht="15">
      <c r="B432" s="394"/>
      <c r="C432" s="157"/>
      <c r="D432" s="157"/>
      <c r="E432" s="157"/>
      <c r="F432" s="157"/>
      <c r="G432" s="157"/>
      <c r="H432" s="157"/>
      <c r="I432" s="157"/>
      <c r="J432" s="157"/>
      <c r="K432" s="157"/>
      <c r="L432" s="157"/>
      <c r="M432" s="157"/>
    </row>
    <row r="433" spans="2:13" ht="15">
      <c r="B433" s="394"/>
      <c r="C433" s="157"/>
      <c r="D433" s="157"/>
      <c r="E433" s="157"/>
      <c r="F433" s="157"/>
      <c r="G433" s="157"/>
      <c r="H433" s="157"/>
      <c r="I433" s="157"/>
      <c r="J433" s="157"/>
      <c r="K433" s="157"/>
      <c r="L433" s="157"/>
      <c r="M433" s="157"/>
    </row>
    <row r="434" spans="2:13" ht="15">
      <c r="B434" s="394"/>
      <c r="C434" s="157"/>
      <c r="D434" s="157"/>
      <c r="E434" s="157"/>
      <c r="F434" s="157"/>
      <c r="G434" s="157"/>
      <c r="H434" s="157"/>
      <c r="I434" s="157"/>
      <c r="J434" s="157"/>
      <c r="K434" s="157"/>
      <c r="L434" s="157"/>
      <c r="M434" s="157"/>
    </row>
    <row r="435" spans="2:13" ht="15">
      <c r="B435" s="394"/>
      <c r="C435" s="157"/>
      <c r="D435" s="157"/>
      <c r="E435" s="157"/>
      <c r="F435" s="157"/>
      <c r="G435" s="157"/>
      <c r="H435" s="157"/>
      <c r="I435" s="157"/>
      <c r="J435" s="157"/>
      <c r="K435" s="157"/>
      <c r="L435" s="157"/>
      <c r="M435" s="157"/>
    </row>
    <row r="436" spans="2:13" ht="15">
      <c r="B436" s="394"/>
      <c r="C436" s="157"/>
      <c r="D436" s="157"/>
      <c r="E436" s="157"/>
      <c r="F436" s="157"/>
      <c r="G436" s="157"/>
      <c r="H436" s="157"/>
      <c r="I436" s="157"/>
      <c r="J436" s="157"/>
      <c r="K436" s="157"/>
      <c r="L436" s="157"/>
      <c r="M436" s="157"/>
    </row>
    <row r="437" spans="2:13" ht="15">
      <c r="B437" s="394"/>
      <c r="C437" s="157"/>
      <c r="D437" s="157"/>
      <c r="E437" s="157"/>
      <c r="F437" s="157"/>
      <c r="G437" s="157"/>
      <c r="H437" s="157"/>
      <c r="I437" s="157"/>
      <c r="J437" s="157"/>
      <c r="K437" s="157"/>
      <c r="L437" s="157"/>
      <c r="M437" s="157"/>
    </row>
    <row r="438" spans="2:13" ht="15">
      <c r="B438" s="394"/>
      <c r="C438" s="157"/>
      <c r="D438" s="157"/>
      <c r="E438" s="157"/>
      <c r="F438" s="157"/>
      <c r="G438" s="157"/>
      <c r="H438" s="157"/>
      <c r="I438" s="157"/>
      <c r="J438" s="157"/>
      <c r="K438" s="157"/>
      <c r="L438" s="157"/>
      <c r="M438" s="157"/>
    </row>
    <row r="439" spans="2:13" ht="15">
      <c r="B439" s="394"/>
      <c r="C439" s="157"/>
      <c r="D439" s="157"/>
      <c r="E439" s="157"/>
      <c r="F439" s="157"/>
      <c r="G439" s="157"/>
      <c r="H439" s="157"/>
      <c r="I439" s="157"/>
      <c r="J439" s="157"/>
      <c r="K439" s="157"/>
      <c r="L439" s="157"/>
      <c r="M439" s="157"/>
    </row>
    <row r="440" spans="2:13" ht="15">
      <c r="B440" s="394"/>
      <c r="C440" s="157"/>
      <c r="D440" s="157"/>
      <c r="E440" s="157"/>
      <c r="F440" s="157"/>
      <c r="G440" s="157"/>
      <c r="H440" s="157"/>
      <c r="I440" s="157"/>
      <c r="J440" s="157"/>
      <c r="K440" s="157"/>
      <c r="L440" s="157"/>
      <c r="M440" s="157"/>
    </row>
    <row r="441" spans="2:13" ht="15">
      <c r="B441" s="394"/>
      <c r="C441" s="157"/>
      <c r="D441" s="157"/>
      <c r="E441" s="157"/>
      <c r="F441" s="157"/>
      <c r="G441" s="157"/>
      <c r="H441" s="157"/>
      <c r="I441" s="157"/>
      <c r="J441" s="157"/>
      <c r="K441" s="157"/>
      <c r="L441" s="157"/>
      <c r="M441" s="157"/>
    </row>
    <row r="442" spans="2:13" ht="15">
      <c r="B442" s="394"/>
      <c r="C442" s="157"/>
      <c r="D442" s="157"/>
      <c r="E442" s="157"/>
      <c r="F442" s="157"/>
      <c r="G442" s="157"/>
      <c r="H442" s="157"/>
      <c r="I442" s="157"/>
      <c r="J442" s="157"/>
      <c r="K442" s="157"/>
      <c r="L442" s="157"/>
      <c r="M442" s="157"/>
    </row>
    <row r="443" spans="2:13" ht="15">
      <c r="B443" s="394"/>
      <c r="C443" s="157"/>
      <c r="D443" s="157"/>
      <c r="E443" s="157"/>
      <c r="F443" s="157"/>
      <c r="G443" s="157"/>
      <c r="H443" s="157"/>
      <c r="I443" s="157"/>
      <c r="J443" s="157"/>
      <c r="K443" s="157"/>
      <c r="L443" s="157"/>
      <c r="M443" s="157"/>
    </row>
    <row r="444" spans="2:13" ht="15">
      <c r="B444" s="394"/>
      <c r="C444" s="157"/>
      <c r="D444" s="157"/>
      <c r="E444" s="157"/>
      <c r="F444" s="157"/>
      <c r="G444" s="157"/>
      <c r="H444" s="157"/>
      <c r="I444" s="157"/>
      <c r="J444" s="157"/>
      <c r="K444" s="157"/>
      <c r="L444" s="157"/>
      <c r="M444" s="157"/>
    </row>
    <row r="445" spans="2:13" ht="15">
      <c r="B445" s="394"/>
      <c r="C445" s="157"/>
      <c r="D445" s="157"/>
      <c r="E445" s="157"/>
      <c r="F445" s="157"/>
      <c r="G445" s="157"/>
      <c r="H445" s="157"/>
      <c r="I445" s="157"/>
      <c r="J445" s="157"/>
      <c r="K445" s="157"/>
      <c r="L445" s="157"/>
      <c r="M445" s="157"/>
    </row>
    <row r="446" spans="2:13" ht="15">
      <c r="B446" s="394"/>
      <c r="C446" s="157"/>
      <c r="D446" s="157"/>
      <c r="E446" s="157"/>
      <c r="F446" s="157"/>
      <c r="G446" s="157"/>
      <c r="H446" s="157"/>
      <c r="I446" s="157"/>
      <c r="J446" s="157"/>
      <c r="K446" s="157"/>
      <c r="L446" s="157"/>
      <c r="M446" s="157"/>
    </row>
    <row r="447" spans="2:13" ht="15">
      <c r="B447" s="394"/>
      <c r="C447" s="157"/>
      <c r="D447" s="157"/>
      <c r="E447" s="157"/>
      <c r="F447" s="157"/>
      <c r="G447" s="157"/>
      <c r="H447" s="157"/>
      <c r="I447" s="157"/>
      <c r="J447" s="157"/>
      <c r="K447" s="157"/>
      <c r="L447" s="157"/>
      <c r="M447" s="157"/>
    </row>
    <row r="448" spans="2:13" ht="15">
      <c r="B448" s="394"/>
      <c r="C448" s="157"/>
      <c r="D448" s="157"/>
      <c r="E448" s="157"/>
      <c r="F448" s="157"/>
      <c r="G448" s="157"/>
      <c r="H448" s="157"/>
      <c r="I448" s="157"/>
      <c r="J448" s="157"/>
      <c r="K448" s="157"/>
      <c r="L448" s="157"/>
      <c r="M448" s="157"/>
    </row>
    <row r="449" spans="2:13" ht="15">
      <c r="B449" s="394"/>
      <c r="C449" s="157"/>
      <c r="D449" s="157"/>
      <c r="E449" s="157"/>
      <c r="F449" s="157"/>
      <c r="G449" s="157"/>
      <c r="H449" s="157"/>
      <c r="I449" s="157"/>
      <c r="J449" s="157"/>
      <c r="K449" s="157"/>
      <c r="L449" s="157"/>
      <c r="M449" s="157"/>
    </row>
    <row r="450" spans="2:13" ht="15">
      <c r="B450" s="394"/>
      <c r="C450" s="157"/>
      <c r="D450" s="157"/>
      <c r="E450" s="157"/>
      <c r="F450" s="157"/>
      <c r="G450" s="157"/>
      <c r="H450" s="157"/>
      <c r="I450" s="157"/>
      <c r="J450" s="157"/>
      <c r="K450" s="157"/>
      <c r="L450" s="157"/>
      <c r="M450" s="157"/>
    </row>
    <row r="451" spans="2:13" ht="15">
      <c r="B451" s="394"/>
      <c r="C451" s="157"/>
      <c r="D451" s="157"/>
      <c r="E451" s="157"/>
      <c r="F451" s="157"/>
      <c r="G451" s="157"/>
      <c r="H451" s="157"/>
      <c r="I451" s="157"/>
      <c r="J451" s="157"/>
      <c r="K451" s="157"/>
      <c r="L451" s="157"/>
      <c r="M451" s="157"/>
    </row>
    <row r="452" spans="2:13" ht="15">
      <c r="B452" s="394"/>
      <c r="C452" s="157"/>
      <c r="D452" s="157"/>
      <c r="E452" s="157"/>
      <c r="F452" s="157"/>
      <c r="G452" s="157"/>
      <c r="H452" s="157"/>
      <c r="I452" s="157"/>
      <c r="J452" s="157"/>
      <c r="K452" s="157"/>
      <c r="L452" s="157"/>
      <c r="M452" s="157"/>
    </row>
    <row r="453" spans="2:13" ht="15">
      <c r="B453" s="394"/>
      <c r="C453" s="157"/>
      <c r="D453" s="157"/>
      <c r="E453" s="157"/>
      <c r="F453" s="157"/>
      <c r="G453" s="157"/>
      <c r="H453" s="157"/>
      <c r="I453" s="157"/>
      <c r="J453" s="157"/>
      <c r="K453" s="157"/>
      <c r="L453" s="157"/>
      <c r="M453" s="157"/>
    </row>
    <row r="454" spans="2:13" ht="15">
      <c r="B454" s="394"/>
      <c r="C454" s="157"/>
      <c r="D454" s="157"/>
      <c r="E454" s="157"/>
      <c r="F454" s="157"/>
      <c r="G454" s="157"/>
      <c r="H454" s="157"/>
      <c r="I454" s="157"/>
      <c r="J454" s="157"/>
      <c r="K454" s="157"/>
      <c r="L454" s="157"/>
      <c r="M454" s="157"/>
    </row>
    <row r="455" spans="2:13" ht="15">
      <c r="B455" s="394"/>
      <c r="C455" s="157"/>
      <c r="D455" s="157"/>
      <c r="E455" s="157"/>
      <c r="F455" s="157"/>
      <c r="G455" s="157"/>
      <c r="H455" s="157"/>
      <c r="I455" s="157"/>
      <c r="J455" s="157"/>
      <c r="K455" s="157"/>
      <c r="L455" s="157"/>
      <c r="M455" s="157"/>
    </row>
    <row r="456" spans="2:13" ht="15">
      <c r="B456" s="394"/>
      <c r="C456" s="157"/>
      <c r="D456" s="157"/>
      <c r="E456" s="157"/>
      <c r="F456" s="157"/>
      <c r="G456" s="157"/>
      <c r="H456" s="157"/>
      <c r="I456" s="157"/>
      <c r="J456" s="157"/>
      <c r="K456" s="157"/>
      <c r="L456" s="157"/>
      <c r="M456" s="157"/>
    </row>
    <row r="457" spans="2:13" ht="15">
      <c r="B457" s="394"/>
      <c r="C457" s="157"/>
      <c r="D457" s="157"/>
      <c r="E457" s="157"/>
      <c r="F457" s="157"/>
      <c r="G457" s="157"/>
      <c r="H457" s="157"/>
      <c r="I457" s="157"/>
      <c r="J457" s="157"/>
      <c r="K457" s="157"/>
      <c r="L457" s="157"/>
      <c r="M457" s="157"/>
    </row>
    <row r="458" spans="2:13" ht="15">
      <c r="B458" s="394"/>
      <c r="C458" s="157"/>
      <c r="D458" s="157"/>
      <c r="E458" s="157"/>
      <c r="F458" s="157"/>
      <c r="G458" s="157"/>
      <c r="H458" s="157"/>
      <c r="I458" s="157"/>
      <c r="J458" s="157"/>
      <c r="K458" s="157"/>
      <c r="L458" s="157"/>
      <c r="M458" s="157"/>
    </row>
    <row r="459" spans="2:13" ht="15">
      <c r="B459" s="394"/>
      <c r="C459" s="157"/>
      <c r="D459" s="157"/>
      <c r="E459" s="157"/>
      <c r="F459" s="157"/>
      <c r="G459" s="157"/>
      <c r="H459" s="157"/>
      <c r="I459" s="157"/>
      <c r="J459" s="157"/>
      <c r="K459" s="157"/>
      <c r="L459" s="157"/>
      <c r="M459" s="157"/>
    </row>
    <row r="460" spans="2:13" ht="15">
      <c r="B460" s="394"/>
      <c r="C460" s="157"/>
      <c r="D460" s="157"/>
      <c r="E460" s="157"/>
      <c r="F460" s="157"/>
      <c r="G460" s="157"/>
      <c r="H460" s="157"/>
      <c r="I460" s="157"/>
      <c r="J460" s="157"/>
      <c r="K460" s="157"/>
      <c r="L460" s="157"/>
      <c r="M460" s="157"/>
    </row>
    <row r="461" spans="2:13" ht="15">
      <c r="B461" s="394"/>
      <c r="C461" s="157"/>
      <c r="D461" s="157"/>
      <c r="E461" s="157"/>
      <c r="F461" s="157"/>
      <c r="G461" s="157"/>
      <c r="H461" s="157"/>
      <c r="I461" s="157"/>
      <c r="J461" s="157"/>
      <c r="K461" s="157"/>
      <c r="L461" s="157"/>
      <c r="M461" s="157"/>
    </row>
    <row r="462" spans="2:13" ht="15">
      <c r="B462" s="394"/>
      <c r="C462" s="157"/>
      <c r="D462" s="157"/>
      <c r="E462" s="157"/>
      <c r="F462" s="157"/>
      <c r="G462" s="157"/>
      <c r="H462" s="157"/>
      <c r="I462" s="157"/>
      <c r="J462" s="157"/>
      <c r="K462" s="157"/>
      <c r="L462" s="157"/>
      <c r="M462" s="157"/>
    </row>
    <row r="463" spans="2:13" ht="15">
      <c r="B463" s="394"/>
      <c r="C463" s="157"/>
      <c r="D463" s="157"/>
      <c r="E463" s="157"/>
      <c r="F463" s="157"/>
      <c r="G463" s="157"/>
      <c r="H463" s="157"/>
      <c r="I463" s="157"/>
      <c r="J463" s="157"/>
      <c r="K463" s="157"/>
      <c r="L463" s="157"/>
      <c r="M463" s="157"/>
    </row>
    <row r="464" spans="2:13" ht="15">
      <c r="B464" s="394"/>
      <c r="C464" s="157"/>
      <c r="D464" s="157"/>
      <c r="E464" s="157"/>
      <c r="F464" s="157"/>
      <c r="G464" s="157"/>
      <c r="H464" s="157"/>
      <c r="I464" s="157"/>
      <c r="J464" s="157"/>
      <c r="K464" s="157"/>
      <c r="L464" s="157"/>
      <c r="M464" s="157"/>
    </row>
    <row r="465" spans="2:13" ht="15">
      <c r="B465" s="394"/>
      <c r="C465" s="157"/>
      <c r="D465" s="157"/>
      <c r="E465" s="157"/>
      <c r="F465" s="157"/>
      <c r="G465" s="157"/>
      <c r="H465" s="157"/>
      <c r="I465" s="157"/>
      <c r="J465" s="157"/>
      <c r="K465" s="157"/>
      <c r="L465" s="157"/>
      <c r="M465" s="157"/>
    </row>
    <row r="466" spans="2:13" ht="15">
      <c r="B466" s="394"/>
      <c r="C466" s="157"/>
      <c r="D466" s="157"/>
      <c r="E466" s="157"/>
      <c r="F466" s="157"/>
      <c r="G466" s="157"/>
      <c r="H466" s="157"/>
      <c r="I466" s="157"/>
      <c r="J466" s="157"/>
      <c r="K466" s="157"/>
      <c r="L466" s="157"/>
      <c r="M466" s="157"/>
    </row>
    <row r="467" spans="2:13" ht="15">
      <c r="B467" s="394"/>
      <c r="C467" s="157"/>
      <c r="D467" s="157"/>
      <c r="E467" s="157"/>
      <c r="F467" s="157"/>
      <c r="G467" s="157"/>
      <c r="H467" s="157"/>
      <c r="I467" s="157"/>
      <c r="J467" s="157"/>
      <c r="K467" s="157"/>
      <c r="L467" s="157"/>
      <c r="M467" s="157"/>
    </row>
    <row r="468" spans="2:13" ht="15">
      <c r="B468" s="394"/>
      <c r="C468" s="157"/>
      <c r="D468" s="157"/>
      <c r="E468" s="157"/>
      <c r="F468" s="157"/>
      <c r="G468" s="157"/>
      <c r="H468" s="157"/>
      <c r="I468" s="157"/>
      <c r="J468" s="157"/>
      <c r="K468" s="157"/>
      <c r="L468" s="157"/>
      <c r="M468" s="157"/>
    </row>
    <row r="469" spans="2:13" ht="15">
      <c r="B469" s="394"/>
      <c r="C469" s="157"/>
      <c r="D469" s="157"/>
      <c r="E469" s="157"/>
      <c r="F469" s="157"/>
      <c r="G469" s="157"/>
      <c r="H469" s="157"/>
      <c r="I469" s="157"/>
      <c r="J469" s="157"/>
      <c r="K469" s="157"/>
      <c r="L469" s="157"/>
      <c r="M469" s="157"/>
    </row>
    <row r="470" spans="2:13" ht="15">
      <c r="B470" s="394"/>
      <c r="C470" s="157"/>
      <c r="D470" s="157"/>
      <c r="E470" s="157"/>
      <c r="F470" s="157"/>
      <c r="G470" s="157"/>
      <c r="H470" s="157"/>
      <c r="I470" s="157"/>
      <c r="J470" s="157"/>
      <c r="K470" s="157"/>
      <c r="L470" s="157"/>
      <c r="M470" s="157"/>
    </row>
    <row r="471" spans="2:13" ht="15">
      <c r="B471" s="394"/>
      <c r="C471" s="157"/>
      <c r="D471" s="157"/>
      <c r="E471" s="157"/>
      <c r="F471" s="157"/>
      <c r="G471" s="157"/>
      <c r="H471" s="157"/>
      <c r="I471" s="157"/>
      <c r="J471" s="157"/>
      <c r="K471" s="157"/>
      <c r="L471" s="157"/>
      <c r="M471" s="157"/>
    </row>
    <row r="472" spans="2:13" ht="15">
      <c r="B472" s="394"/>
      <c r="C472" s="157"/>
      <c r="D472" s="157"/>
      <c r="E472" s="157"/>
      <c r="F472" s="157"/>
      <c r="G472" s="157"/>
      <c r="H472" s="157"/>
      <c r="I472" s="157"/>
      <c r="J472" s="157"/>
      <c r="K472" s="157"/>
      <c r="L472" s="157"/>
      <c r="M472" s="157"/>
    </row>
    <row r="473" spans="2:13" ht="15">
      <c r="B473" s="394"/>
      <c r="C473" s="157"/>
      <c r="D473" s="157"/>
      <c r="E473" s="157"/>
      <c r="F473" s="157"/>
      <c r="G473" s="157"/>
      <c r="H473" s="157"/>
      <c r="I473" s="157"/>
      <c r="J473" s="157"/>
      <c r="K473" s="157"/>
      <c r="L473" s="157"/>
      <c r="M473" s="157"/>
    </row>
    <row r="474" spans="2:13" ht="15">
      <c r="B474" s="394"/>
      <c r="C474" s="157"/>
      <c r="D474" s="157"/>
      <c r="E474" s="157"/>
      <c r="F474" s="157"/>
      <c r="G474" s="157"/>
      <c r="H474" s="157"/>
      <c r="I474" s="157"/>
      <c r="J474" s="157"/>
      <c r="K474" s="157"/>
      <c r="L474" s="157"/>
      <c r="M474" s="157"/>
    </row>
    <row r="475" spans="2:13" ht="15">
      <c r="B475" s="394"/>
      <c r="C475" s="157"/>
      <c r="D475" s="157"/>
      <c r="E475" s="157"/>
      <c r="F475" s="157"/>
      <c r="G475" s="157"/>
      <c r="H475" s="157"/>
      <c r="I475" s="157"/>
      <c r="J475" s="157"/>
      <c r="K475" s="157"/>
      <c r="L475" s="157"/>
      <c r="M475" s="157"/>
    </row>
    <row r="476" spans="2:13" ht="15">
      <c r="B476" s="394"/>
      <c r="C476" s="157"/>
      <c r="D476" s="157"/>
      <c r="E476" s="157"/>
      <c r="F476" s="157"/>
      <c r="G476" s="157"/>
      <c r="H476" s="157"/>
      <c r="I476" s="157"/>
      <c r="J476" s="157"/>
      <c r="K476" s="157"/>
      <c r="L476" s="157"/>
      <c r="M476" s="157"/>
    </row>
    <row r="477" spans="2:13" ht="15">
      <c r="B477" s="394"/>
      <c r="C477" s="157"/>
      <c r="D477" s="157"/>
      <c r="E477" s="157"/>
      <c r="F477" s="157"/>
      <c r="G477" s="157"/>
      <c r="H477" s="157"/>
      <c r="I477" s="157"/>
      <c r="J477" s="157"/>
      <c r="K477" s="157"/>
      <c r="L477" s="157"/>
      <c r="M477" s="157"/>
    </row>
    <row r="478" spans="2:13" ht="15">
      <c r="B478" s="394"/>
      <c r="C478" s="157"/>
      <c r="D478" s="157"/>
      <c r="E478" s="157"/>
      <c r="F478" s="157"/>
      <c r="G478" s="157"/>
      <c r="H478" s="157"/>
      <c r="I478" s="157"/>
      <c r="J478" s="157"/>
      <c r="K478" s="157"/>
      <c r="L478" s="157"/>
      <c r="M478" s="157"/>
    </row>
    <row r="479" spans="2:13" ht="15">
      <c r="B479" s="394"/>
      <c r="C479" s="157"/>
      <c r="D479" s="157"/>
      <c r="E479" s="157"/>
      <c r="F479" s="157"/>
      <c r="G479" s="157"/>
      <c r="H479" s="157"/>
      <c r="I479" s="157"/>
      <c r="J479" s="157"/>
      <c r="K479" s="157"/>
      <c r="L479" s="157"/>
      <c r="M479" s="157"/>
    </row>
    <row r="480" spans="2:13" ht="15">
      <c r="B480" s="394"/>
      <c r="C480" s="157"/>
      <c r="D480" s="157"/>
      <c r="E480" s="157"/>
      <c r="F480" s="157"/>
      <c r="G480" s="157"/>
      <c r="H480" s="157"/>
      <c r="I480" s="157"/>
      <c r="J480" s="157"/>
      <c r="K480" s="157"/>
      <c r="L480" s="157"/>
      <c r="M480" s="157"/>
    </row>
    <row r="481" spans="2:13" ht="15">
      <c r="B481" s="394"/>
      <c r="C481" s="157"/>
      <c r="D481" s="157"/>
      <c r="E481" s="157"/>
      <c r="F481" s="157"/>
      <c r="G481" s="157"/>
      <c r="H481" s="157"/>
      <c r="I481" s="157"/>
      <c r="J481" s="157"/>
      <c r="K481" s="157"/>
      <c r="L481" s="157"/>
      <c r="M481" s="157"/>
    </row>
    <row r="482" spans="2:13" ht="15">
      <c r="B482" s="394"/>
      <c r="C482" s="157"/>
      <c r="D482" s="157"/>
      <c r="E482" s="157"/>
      <c r="F482" s="157"/>
      <c r="G482" s="157"/>
      <c r="H482" s="157"/>
      <c r="I482" s="157"/>
      <c r="J482" s="157"/>
      <c r="K482" s="157"/>
      <c r="L482" s="157"/>
      <c r="M482" s="157"/>
    </row>
    <row r="483" spans="2:13" ht="15">
      <c r="B483" s="394"/>
      <c r="C483" s="157"/>
      <c r="D483" s="157"/>
      <c r="E483" s="157"/>
      <c r="F483" s="157"/>
      <c r="G483" s="157"/>
      <c r="H483" s="157"/>
      <c r="I483" s="157"/>
      <c r="J483" s="157"/>
      <c r="K483" s="157"/>
      <c r="L483" s="157"/>
      <c r="M483" s="157"/>
    </row>
    <row r="484" spans="2:13" ht="15">
      <c r="B484" s="394"/>
      <c r="C484" s="157"/>
      <c r="D484" s="157"/>
      <c r="E484" s="157"/>
      <c r="F484" s="157"/>
      <c r="G484" s="157"/>
      <c r="H484" s="157"/>
      <c r="I484" s="157"/>
      <c r="J484" s="157"/>
      <c r="K484" s="157"/>
      <c r="L484" s="157"/>
      <c r="M484" s="157"/>
    </row>
    <row r="485" spans="2:13" ht="15">
      <c r="B485" s="394"/>
      <c r="C485" s="157"/>
      <c r="D485" s="157"/>
      <c r="E485" s="157"/>
      <c r="F485" s="157"/>
      <c r="G485" s="157"/>
      <c r="H485" s="157"/>
      <c r="I485" s="157"/>
      <c r="J485" s="157"/>
      <c r="K485" s="157"/>
      <c r="L485" s="157"/>
      <c r="M485" s="157"/>
    </row>
    <row r="486" spans="2:13" ht="15">
      <c r="B486" s="394"/>
      <c r="C486" s="157"/>
      <c r="D486" s="157"/>
      <c r="E486" s="157"/>
      <c r="F486" s="157"/>
      <c r="G486" s="157"/>
      <c r="H486" s="157"/>
      <c r="I486" s="157"/>
      <c r="J486" s="157"/>
      <c r="K486" s="157"/>
      <c r="L486" s="157"/>
      <c r="M486" s="157"/>
    </row>
    <row r="487" spans="2:13" ht="15">
      <c r="B487" s="394"/>
      <c r="C487" s="157"/>
      <c r="D487" s="157"/>
      <c r="E487" s="157"/>
      <c r="F487" s="157"/>
      <c r="G487" s="157"/>
      <c r="H487" s="157"/>
      <c r="I487" s="157"/>
      <c r="J487" s="157"/>
      <c r="K487" s="157"/>
      <c r="L487" s="157"/>
      <c r="M487" s="157"/>
    </row>
    <row r="488" spans="2:13" ht="15">
      <c r="B488" s="394"/>
      <c r="C488" s="157"/>
      <c r="D488" s="157"/>
      <c r="E488" s="157"/>
      <c r="F488" s="157"/>
      <c r="G488" s="157"/>
      <c r="H488" s="157"/>
      <c r="I488" s="157"/>
      <c r="J488" s="157"/>
      <c r="K488" s="157"/>
      <c r="L488" s="157"/>
      <c r="M488" s="157"/>
    </row>
    <row r="489" spans="2:13" ht="15">
      <c r="B489" s="394"/>
      <c r="C489" s="157"/>
      <c r="D489" s="157"/>
      <c r="E489" s="157"/>
      <c r="F489" s="157"/>
      <c r="G489" s="157"/>
      <c r="H489" s="157"/>
      <c r="I489" s="157"/>
      <c r="J489" s="157"/>
      <c r="K489" s="157"/>
      <c r="L489" s="157"/>
      <c r="M489" s="157"/>
    </row>
    <row r="490" spans="2:13" ht="15">
      <c r="B490" s="394"/>
      <c r="C490" s="157"/>
      <c r="D490" s="157"/>
      <c r="E490" s="157"/>
      <c r="F490" s="157"/>
      <c r="G490" s="157"/>
      <c r="H490" s="157"/>
      <c r="I490" s="157"/>
      <c r="J490" s="157"/>
      <c r="K490" s="157"/>
      <c r="L490" s="157"/>
      <c r="M490" s="157"/>
    </row>
    <row r="491" spans="2:13" ht="15">
      <c r="B491" s="394"/>
      <c r="C491" s="157"/>
      <c r="D491" s="157"/>
      <c r="E491" s="157"/>
      <c r="F491" s="157"/>
      <c r="G491" s="157"/>
      <c r="H491" s="157"/>
      <c r="I491" s="157"/>
      <c r="J491" s="157"/>
      <c r="K491" s="157"/>
      <c r="L491" s="157"/>
      <c r="M491" s="157"/>
    </row>
    <row r="492" spans="2:13" ht="15">
      <c r="B492" s="394"/>
      <c r="C492" s="157"/>
      <c r="D492" s="157"/>
      <c r="E492" s="157"/>
      <c r="F492" s="157"/>
      <c r="G492" s="157"/>
      <c r="H492" s="157"/>
      <c r="I492" s="157"/>
      <c r="J492" s="157"/>
      <c r="K492" s="157"/>
      <c r="L492" s="157"/>
      <c r="M492" s="157"/>
    </row>
    <row r="493" spans="2:13" ht="15">
      <c r="B493" s="394"/>
      <c r="C493" s="157"/>
      <c r="D493" s="157"/>
      <c r="E493" s="157"/>
      <c r="F493" s="157"/>
      <c r="G493" s="157"/>
      <c r="H493" s="157"/>
      <c r="I493" s="157"/>
      <c r="J493" s="157"/>
      <c r="K493" s="157"/>
      <c r="L493" s="157"/>
      <c r="M493" s="157"/>
    </row>
    <row r="494" spans="2:13" ht="15">
      <c r="B494" s="394"/>
      <c r="C494" s="157"/>
      <c r="D494" s="157"/>
      <c r="E494" s="157"/>
      <c r="F494" s="157"/>
      <c r="G494" s="157"/>
      <c r="H494" s="157"/>
      <c r="I494" s="157"/>
      <c r="J494" s="157"/>
      <c r="K494" s="157"/>
      <c r="L494" s="157"/>
      <c r="M494" s="157"/>
    </row>
    <row r="495" spans="2:13" ht="15">
      <c r="B495" s="394"/>
      <c r="C495" s="157"/>
      <c r="D495" s="157"/>
      <c r="E495" s="157"/>
      <c r="F495" s="157"/>
      <c r="G495" s="157"/>
      <c r="H495" s="157"/>
      <c r="I495" s="157"/>
      <c r="J495" s="157"/>
      <c r="K495" s="157"/>
      <c r="L495" s="157"/>
      <c r="M495" s="157"/>
    </row>
    <row r="496" spans="2:13" ht="15">
      <c r="B496" s="394"/>
      <c r="C496" s="157"/>
      <c r="D496" s="157"/>
      <c r="E496" s="157"/>
      <c r="F496" s="157"/>
      <c r="G496" s="157"/>
      <c r="H496" s="157"/>
      <c r="I496" s="157"/>
      <c r="J496" s="157"/>
      <c r="K496" s="157"/>
      <c r="L496" s="157"/>
      <c r="M496" s="157"/>
    </row>
    <row r="497" spans="2:13" ht="15">
      <c r="B497" s="394"/>
      <c r="C497" s="157"/>
      <c r="D497" s="157"/>
      <c r="E497" s="157"/>
      <c r="F497" s="157"/>
      <c r="G497" s="157"/>
      <c r="H497" s="157"/>
      <c r="I497" s="157"/>
      <c r="J497" s="157"/>
      <c r="K497" s="157"/>
      <c r="L497" s="157"/>
      <c r="M497" s="157"/>
    </row>
    <row r="498" spans="2:13" ht="15">
      <c r="B498" s="394"/>
      <c r="C498" s="157"/>
      <c r="D498" s="157"/>
      <c r="E498" s="157"/>
      <c r="F498" s="157"/>
      <c r="G498" s="157"/>
      <c r="H498" s="157"/>
      <c r="I498" s="157"/>
      <c r="J498" s="157"/>
      <c r="K498" s="157"/>
      <c r="L498" s="157"/>
      <c r="M498" s="157"/>
    </row>
    <row r="499" spans="2:13" ht="15">
      <c r="B499" s="394"/>
      <c r="C499" s="157"/>
      <c r="D499" s="157"/>
      <c r="E499" s="157"/>
      <c r="F499" s="157"/>
      <c r="G499" s="157"/>
      <c r="H499" s="157"/>
      <c r="I499" s="157"/>
      <c r="J499" s="157"/>
      <c r="K499" s="157"/>
      <c r="L499" s="157"/>
      <c r="M499" s="157"/>
    </row>
    <row r="500" spans="2:13" ht="15">
      <c r="B500" s="394"/>
      <c r="C500" s="157"/>
      <c r="D500" s="157"/>
      <c r="E500" s="157"/>
      <c r="F500" s="157"/>
      <c r="G500" s="157"/>
      <c r="H500" s="157"/>
      <c r="I500" s="157"/>
      <c r="J500" s="157"/>
      <c r="K500" s="157"/>
      <c r="L500" s="157"/>
      <c r="M500" s="157"/>
    </row>
    <row r="501" spans="2:13" ht="15">
      <c r="B501" s="394"/>
      <c r="C501" s="157"/>
      <c r="D501" s="157"/>
      <c r="E501" s="157"/>
      <c r="F501" s="157"/>
      <c r="G501" s="157"/>
      <c r="H501" s="157"/>
      <c r="I501" s="157"/>
      <c r="J501" s="157"/>
      <c r="K501" s="157"/>
      <c r="L501" s="157"/>
      <c r="M501" s="157"/>
    </row>
    <row r="502" spans="2:13" ht="15">
      <c r="B502" s="394"/>
      <c r="C502" s="157"/>
      <c r="D502" s="157"/>
      <c r="E502" s="157"/>
      <c r="F502" s="157"/>
      <c r="G502" s="157"/>
      <c r="H502" s="157"/>
      <c r="I502" s="157"/>
      <c r="J502" s="157"/>
      <c r="K502" s="157"/>
      <c r="L502" s="157"/>
      <c r="M502" s="157"/>
    </row>
    <row r="503" spans="2:13" ht="15">
      <c r="B503" s="394"/>
      <c r="C503" s="157"/>
      <c r="D503" s="157"/>
      <c r="E503" s="157"/>
      <c r="F503" s="157"/>
      <c r="G503" s="157"/>
      <c r="H503" s="157"/>
      <c r="I503" s="157"/>
      <c r="J503" s="157"/>
      <c r="K503" s="157"/>
      <c r="L503" s="157"/>
      <c r="M503" s="157"/>
    </row>
    <row r="504" spans="2:13" ht="15">
      <c r="B504" s="394"/>
      <c r="C504" s="157"/>
      <c r="D504" s="157"/>
      <c r="E504" s="157"/>
      <c r="F504" s="157"/>
      <c r="G504" s="157"/>
      <c r="H504" s="157"/>
      <c r="I504" s="157"/>
      <c r="J504" s="157"/>
      <c r="K504" s="157"/>
      <c r="L504" s="157"/>
      <c r="M504" s="157"/>
    </row>
    <row r="505" spans="2:13" ht="15">
      <c r="B505" s="394"/>
      <c r="C505" s="157"/>
      <c r="D505" s="157"/>
      <c r="E505" s="157"/>
      <c r="F505" s="157"/>
      <c r="G505" s="157"/>
      <c r="H505" s="157"/>
      <c r="I505" s="157"/>
      <c r="J505" s="157"/>
      <c r="K505" s="157"/>
      <c r="L505" s="157"/>
      <c r="M505" s="157"/>
    </row>
    <row r="506" spans="2:13" ht="15">
      <c r="B506" s="394"/>
      <c r="C506" s="157"/>
      <c r="D506" s="157"/>
      <c r="E506" s="157"/>
      <c r="F506" s="157"/>
      <c r="G506" s="157"/>
      <c r="H506" s="157"/>
      <c r="I506" s="157"/>
      <c r="J506" s="157"/>
      <c r="K506" s="157"/>
      <c r="L506" s="157"/>
      <c r="M506" s="157"/>
    </row>
    <row r="507" spans="2:13" ht="15">
      <c r="B507" s="394"/>
      <c r="C507" s="157"/>
      <c r="D507" s="157"/>
      <c r="E507" s="157"/>
      <c r="F507" s="157"/>
      <c r="G507" s="157"/>
      <c r="H507" s="157"/>
      <c r="I507" s="157"/>
      <c r="J507" s="157"/>
      <c r="K507" s="157"/>
      <c r="L507" s="157"/>
      <c r="M507" s="157"/>
    </row>
    <row r="508" spans="2:13" ht="15">
      <c r="B508" s="394"/>
      <c r="C508" s="157"/>
      <c r="D508" s="157"/>
      <c r="E508" s="157"/>
      <c r="F508" s="157"/>
      <c r="G508" s="157"/>
      <c r="H508" s="157"/>
      <c r="I508" s="157"/>
      <c r="J508" s="157"/>
      <c r="K508" s="157"/>
      <c r="L508" s="157"/>
      <c r="M508" s="157"/>
    </row>
    <row r="509" spans="2:13" ht="15">
      <c r="B509" s="394"/>
      <c r="C509" s="157"/>
      <c r="D509" s="157"/>
      <c r="E509" s="157"/>
      <c r="F509" s="157"/>
      <c r="G509" s="157"/>
      <c r="H509" s="157"/>
      <c r="I509" s="157"/>
      <c r="J509" s="157"/>
      <c r="K509" s="157"/>
      <c r="L509" s="157"/>
      <c r="M509" s="157"/>
    </row>
    <row r="510" spans="2:13" ht="15">
      <c r="B510" s="394"/>
      <c r="C510" s="157"/>
      <c r="D510" s="157"/>
      <c r="E510" s="157"/>
      <c r="F510" s="157"/>
      <c r="G510" s="157"/>
      <c r="H510" s="157"/>
      <c r="I510" s="157"/>
      <c r="J510" s="157"/>
      <c r="K510" s="157"/>
      <c r="L510" s="157"/>
      <c r="M510" s="157"/>
    </row>
    <row r="511" spans="2:13" ht="15">
      <c r="B511" s="394"/>
      <c r="C511" s="157"/>
      <c r="D511" s="157"/>
      <c r="E511" s="157"/>
      <c r="F511" s="157"/>
      <c r="G511" s="157"/>
      <c r="H511" s="157"/>
      <c r="I511" s="157"/>
      <c r="J511" s="157"/>
      <c r="K511" s="157"/>
      <c r="L511" s="157"/>
      <c r="M511" s="157"/>
    </row>
    <row r="512" spans="2:13" ht="15">
      <c r="B512" s="394"/>
      <c r="C512" s="157"/>
      <c r="D512" s="157"/>
      <c r="E512" s="157"/>
      <c r="F512" s="157"/>
      <c r="G512" s="157"/>
      <c r="H512" s="157"/>
      <c r="I512" s="157"/>
      <c r="J512" s="157"/>
      <c r="K512" s="157"/>
      <c r="L512" s="157"/>
      <c r="M512" s="157"/>
    </row>
    <row r="513" spans="2:13" ht="15">
      <c r="B513" s="394"/>
      <c r="C513" s="157"/>
      <c r="D513" s="157"/>
      <c r="E513" s="157"/>
      <c r="F513" s="157"/>
      <c r="G513" s="157"/>
      <c r="H513" s="157"/>
      <c r="I513" s="157"/>
      <c r="J513" s="157"/>
      <c r="K513" s="157"/>
      <c r="L513" s="157"/>
      <c r="M513" s="157"/>
    </row>
    <row r="514" spans="2:13" ht="15">
      <c r="B514" s="394"/>
      <c r="C514" s="157"/>
      <c r="D514" s="157"/>
      <c r="E514" s="157"/>
      <c r="F514" s="157"/>
      <c r="G514" s="157"/>
      <c r="H514" s="157"/>
      <c r="I514" s="157"/>
      <c r="J514" s="157"/>
      <c r="K514" s="157"/>
      <c r="L514" s="157"/>
      <c r="M514" s="157"/>
    </row>
    <row r="515" spans="2:13" ht="15">
      <c r="B515" s="394"/>
      <c r="C515" s="157"/>
      <c r="D515" s="157"/>
      <c r="E515" s="157"/>
      <c r="F515" s="157"/>
      <c r="G515" s="157"/>
      <c r="H515" s="157"/>
      <c r="I515" s="157"/>
      <c r="J515" s="157"/>
      <c r="K515" s="157"/>
      <c r="L515" s="157"/>
      <c r="M515" s="157"/>
    </row>
    <row r="516" spans="2:13" ht="15">
      <c r="B516" s="394"/>
      <c r="C516" s="157"/>
      <c r="D516" s="157"/>
      <c r="E516" s="157"/>
      <c r="F516" s="157"/>
      <c r="G516" s="157"/>
      <c r="H516" s="157"/>
      <c r="I516" s="157"/>
      <c r="J516" s="157"/>
      <c r="K516" s="157"/>
      <c r="L516" s="157"/>
      <c r="M516" s="157"/>
    </row>
    <row r="517" spans="2:13" ht="15">
      <c r="B517" s="394"/>
      <c r="C517" s="157"/>
      <c r="D517" s="157"/>
      <c r="E517" s="157"/>
      <c r="F517" s="157"/>
      <c r="G517" s="157"/>
      <c r="H517" s="157"/>
      <c r="I517" s="157"/>
      <c r="J517" s="157"/>
      <c r="K517" s="157"/>
      <c r="L517" s="157"/>
      <c r="M517" s="157"/>
    </row>
    <row r="518" spans="2:13" ht="15">
      <c r="B518" s="394"/>
      <c r="C518" s="157"/>
      <c r="D518" s="157"/>
      <c r="E518" s="157"/>
      <c r="F518" s="157"/>
      <c r="G518" s="157"/>
      <c r="H518" s="157"/>
      <c r="I518" s="157"/>
      <c r="J518" s="157"/>
      <c r="K518" s="157"/>
      <c r="L518" s="157"/>
      <c r="M518" s="157"/>
    </row>
    <row r="519" spans="2:13" ht="15">
      <c r="B519" s="394"/>
      <c r="C519" s="157"/>
      <c r="D519" s="157"/>
      <c r="E519" s="157"/>
      <c r="F519" s="157"/>
      <c r="G519" s="157"/>
      <c r="H519" s="157"/>
      <c r="I519" s="157"/>
      <c r="J519" s="157"/>
      <c r="K519" s="157"/>
      <c r="L519" s="157"/>
      <c r="M519" s="157"/>
    </row>
    <row r="520" spans="2:13" ht="15">
      <c r="B520" s="394"/>
      <c r="C520" s="157"/>
      <c r="D520" s="157"/>
      <c r="E520" s="157"/>
      <c r="F520" s="157"/>
      <c r="G520" s="157"/>
      <c r="H520" s="157"/>
      <c r="I520" s="157"/>
      <c r="J520" s="157"/>
      <c r="K520" s="157"/>
      <c r="L520" s="157"/>
      <c r="M520" s="157"/>
    </row>
    <row r="521" spans="2:13" ht="15">
      <c r="B521" s="394"/>
      <c r="C521" s="157"/>
      <c r="D521" s="157"/>
      <c r="E521" s="157"/>
      <c r="F521" s="157"/>
      <c r="G521" s="157"/>
      <c r="H521" s="157"/>
      <c r="I521" s="157"/>
      <c r="J521" s="157"/>
      <c r="K521" s="157"/>
      <c r="L521" s="157"/>
      <c r="M521" s="157"/>
    </row>
    <row r="522" spans="2:13" ht="15">
      <c r="B522" s="394"/>
      <c r="C522" s="157"/>
      <c r="D522" s="157"/>
      <c r="E522" s="157"/>
      <c r="F522" s="157"/>
      <c r="G522" s="157"/>
      <c r="H522" s="157"/>
      <c r="I522" s="157"/>
      <c r="J522" s="157"/>
      <c r="K522" s="157"/>
      <c r="L522" s="157"/>
      <c r="M522" s="157"/>
    </row>
    <row r="523" spans="2:13" ht="15">
      <c r="B523" s="394"/>
      <c r="C523" s="157"/>
      <c r="D523" s="157"/>
      <c r="E523" s="157"/>
      <c r="F523" s="157"/>
      <c r="G523" s="157"/>
      <c r="H523" s="157"/>
      <c r="I523" s="157"/>
      <c r="J523" s="157"/>
      <c r="K523" s="157"/>
      <c r="L523" s="157"/>
      <c r="M523" s="157"/>
    </row>
    <row r="524" spans="2:13" ht="15">
      <c r="B524" s="394"/>
      <c r="C524" s="157"/>
      <c r="D524" s="157"/>
      <c r="E524" s="157"/>
      <c r="F524" s="157"/>
      <c r="G524" s="157"/>
      <c r="H524" s="157"/>
      <c r="I524" s="157"/>
      <c r="J524" s="157"/>
      <c r="K524" s="157"/>
      <c r="L524" s="157"/>
      <c r="M524" s="157"/>
    </row>
    <row r="525" spans="2:13" ht="15">
      <c r="B525" s="394"/>
      <c r="C525" s="157"/>
      <c r="D525" s="157"/>
      <c r="E525" s="157"/>
      <c r="F525" s="157"/>
      <c r="G525" s="157"/>
      <c r="H525" s="157"/>
      <c r="I525" s="157"/>
      <c r="J525" s="157"/>
      <c r="K525" s="157"/>
      <c r="L525" s="157"/>
      <c r="M525" s="157"/>
    </row>
    <row r="526" spans="2:13" ht="15">
      <c r="B526" s="394"/>
      <c r="C526" s="157"/>
      <c r="D526" s="157"/>
      <c r="E526" s="157"/>
      <c r="F526" s="157"/>
      <c r="G526" s="157"/>
      <c r="H526" s="157"/>
      <c r="I526" s="157"/>
      <c r="J526" s="157"/>
      <c r="K526" s="157"/>
      <c r="L526" s="157"/>
      <c r="M526" s="157"/>
    </row>
    <row r="527" spans="2:13" ht="15">
      <c r="B527" s="394"/>
      <c r="C527" s="157"/>
      <c r="D527" s="157"/>
      <c r="E527" s="157"/>
      <c r="F527" s="157"/>
      <c r="G527" s="157"/>
      <c r="H527" s="157"/>
      <c r="I527" s="157"/>
      <c r="J527" s="157"/>
      <c r="K527" s="157"/>
      <c r="L527" s="157"/>
      <c r="M527" s="157"/>
    </row>
    <row r="528" spans="2:13" ht="15">
      <c r="B528" s="394"/>
      <c r="C528" s="157"/>
      <c r="D528" s="157"/>
      <c r="E528" s="157"/>
      <c r="F528" s="157"/>
      <c r="G528" s="157"/>
      <c r="H528" s="157"/>
      <c r="I528" s="157"/>
      <c r="J528" s="157"/>
      <c r="K528" s="157"/>
      <c r="L528" s="157"/>
      <c r="M528" s="157"/>
    </row>
    <row r="529" spans="2:13" ht="15">
      <c r="B529" s="394"/>
      <c r="C529" s="157"/>
      <c r="D529" s="157"/>
      <c r="E529" s="157"/>
      <c r="F529" s="157"/>
      <c r="G529" s="157"/>
      <c r="H529" s="157"/>
      <c r="I529" s="157"/>
      <c r="J529" s="157"/>
      <c r="K529" s="157"/>
      <c r="L529" s="157"/>
      <c r="M529" s="157"/>
    </row>
    <row r="530" spans="2:13" ht="15">
      <c r="B530" s="394"/>
      <c r="C530" s="157"/>
      <c r="D530" s="157"/>
      <c r="E530" s="157"/>
      <c r="F530" s="157"/>
      <c r="G530" s="157"/>
      <c r="H530" s="157"/>
      <c r="I530" s="157"/>
      <c r="J530" s="157"/>
      <c r="K530" s="157"/>
      <c r="L530" s="157"/>
      <c r="M530" s="157"/>
    </row>
    <row r="531" spans="2:13" ht="15">
      <c r="B531" s="394"/>
      <c r="C531" s="157"/>
      <c r="D531" s="157"/>
      <c r="E531" s="157"/>
      <c r="F531" s="157"/>
      <c r="G531" s="157"/>
      <c r="H531" s="157"/>
      <c r="I531" s="157"/>
      <c r="J531" s="157"/>
      <c r="K531" s="157"/>
      <c r="L531" s="157"/>
      <c r="M531" s="157"/>
    </row>
    <row r="532" spans="2:13" ht="15">
      <c r="B532" s="394"/>
      <c r="C532" s="157"/>
      <c r="D532" s="157"/>
      <c r="E532" s="157"/>
      <c r="F532" s="157"/>
      <c r="G532" s="157"/>
      <c r="H532" s="157"/>
      <c r="I532" s="157"/>
      <c r="J532" s="157"/>
      <c r="K532" s="157"/>
      <c r="L532" s="157"/>
      <c r="M532" s="157"/>
    </row>
    <row r="533" spans="2:13" ht="15">
      <c r="B533" s="394"/>
      <c r="C533" s="157"/>
      <c r="D533" s="157"/>
      <c r="E533" s="157"/>
      <c r="F533" s="157"/>
      <c r="G533" s="157"/>
      <c r="H533" s="157"/>
      <c r="I533" s="157"/>
      <c r="J533" s="157"/>
      <c r="K533" s="157"/>
      <c r="L533" s="157"/>
      <c r="M533" s="157"/>
    </row>
    <row r="534" spans="2:13" ht="15">
      <c r="B534" s="394"/>
      <c r="C534" s="157"/>
      <c r="D534" s="157"/>
      <c r="E534" s="157"/>
      <c r="F534" s="157"/>
      <c r="G534" s="157"/>
      <c r="H534" s="157"/>
      <c r="I534" s="157"/>
      <c r="J534" s="157"/>
      <c r="K534" s="157"/>
      <c r="L534" s="157"/>
      <c r="M534" s="157"/>
    </row>
    <row r="535" spans="2:13" ht="15">
      <c r="B535" s="394"/>
      <c r="C535" s="157"/>
      <c r="D535" s="157"/>
      <c r="E535" s="157"/>
      <c r="F535" s="157"/>
      <c r="G535" s="157"/>
      <c r="H535" s="157"/>
      <c r="I535" s="157"/>
      <c r="J535" s="157"/>
      <c r="K535" s="157"/>
      <c r="L535" s="157"/>
      <c r="M535" s="157"/>
    </row>
    <row r="536" spans="2:13" ht="15">
      <c r="B536" s="394"/>
      <c r="C536" s="157"/>
      <c r="D536" s="157"/>
      <c r="E536" s="157"/>
      <c r="F536" s="157"/>
      <c r="G536" s="157"/>
      <c r="H536" s="157"/>
      <c r="I536" s="157"/>
      <c r="J536" s="157"/>
      <c r="K536" s="157"/>
      <c r="L536" s="157"/>
      <c r="M536" s="157"/>
    </row>
    <row r="537" spans="2:13" ht="15">
      <c r="B537" s="394"/>
      <c r="C537" s="157"/>
      <c r="D537" s="157"/>
      <c r="E537" s="157"/>
      <c r="F537" s="157"/>
      <c r="G537" s="157"/>
      <c r="H537" s="157"/>
      <c r="I537" s="157"/>
      <c r="J537" s="157"/>
      <c r="K537" s="157"/>
      <c r="L537" s="157"/>
      <c r="M537" s="157"/>
    </row>
    <row r="538" spans="2:13" ht="15">
      <c r="B538" s="394"/>
      <c r="C538" s="157"/>
      <c r="D538" s="157"/>
      <c r="E538" s="157"/>
      <c r="F538" s="157"/>
      <c r="G538" s="157"/>
      <c r="H538" s="157"/>
      <c r="I538" s="157"/>
      <c r="J538" s="157"/>
      <c r="K538" s="157"/>
      <c r="L538" s="157"/>
      <c r="M538" s="157"/>
    </row>
    <row r="539" spans="2:13" ht="15">
      <c r="B539" s="394"/>
      <c r="C539" s="157"/>
      <c r="D539" s="157"/>
      <c r="E539" s="157"/>
      <c r="F539" s="157"/>
      <c r="G539" s="157"/>
      <c r="H539" s="157"/>
      <c r="I539" s="157"/>
      <c r="J539" s="157"/>
      <c r="K539" s="157"/>
      <c r="L539" s="157"/>
      <c r="M539" s="157"/>
    </row>
    <row r="540" spans="2:13" ht="15">
      <c r="B540" s="394"/>
      <c r="C540" s="157"/>
      <c r="D540" s="157"/>
      <c r="E540" s="157"/>
      <c r="F540" s="157"/>
      <c r="G540" s="157"/>
      <c r="H540" s="157"/>
      <c r="I540" s="157"/>
      <c r="J540" s="157"/>
      <c r="K540" s="157"/>
      <c r="L540" s="157"/>
      <c r="M540" s="157"/>
    </row>
    <row r="541" spans="2:13" ht="15">
      <c r="B541" s="394"/>
      <c r="C541" s="157"/>
      <c r="D541" s="157"/>
      <c r="E541" s="157"/>
      <c r="F541" s="157"/>
      <c r="G541" s="157"/>
      <c r="H541" s="157"/>
      <c r="I541" s="157"/>
      <c r="J541" s="157"/>
      <c r="K541" s="157"/>
      <c r="L541" s="157"/>
      <c r="M541" s="157"/>
    </row>
    <row r="542" spans="2:13" ht="15">
      <c r="B542" s="394"/>
      <c r="C542" s="157"/>
      <c r="D542" s="157"/>
      <c r="E542" s="157"/>
      <c r="F542" s="157"/>
      <c r="G542" s="157"/>
      <c r="H542" s="157"/>
      <c r="I542" s="157"/>
      <c r="J542" s="157"/>
      <c r="K542" s="157"/>
      <c r="L542" s="157"/>
      <c r="M542" s="157"/>
    </row>
    <row r="543" spans="2:13" ht="15">
      <c r="B543" s="394"/>
      <c r="C543" s="157"/>
      <c r="D543" s="157"/>
      <c r="E543" s="157"/>
      <c r="F543" s="157"/>
      <c r="G543" s="157"/>
      <c r="H543" s="157"/>
      <c r="I543" s="157"/>
      <c r="J543" s="157"/>
      <c r="K543" s="157"/>
      <c r="L543" s="157"/>
      <c r="M543" s="157"/>
    </row>
    <row r="544" spans="2:13" ht="15">
      <c r="B544" s="394"/>
      <c r="C544" s="157"/>
      <c r="D544" s="157"/>
      <c r="E544" s="157"/>
      <c r="F544" s="157"/>
      <c r="G544" s="157"/>
      <c r="H544" s="157"/>
      <c r="I544" s="157"/>
      <c r="J544" s="157"/>
      <c r="K544" s="157"/>
      <c r="L544" s="157"/>
      <c r="M544" s="157"/>
    </row>
    <row r="545" spans="2:13" ht="15">
      <c r="B545" s="394"/>
      <c r="C545" s="157"/>
      <c r="D545" s="157"/>
      <c r="E545" s="157"/>
      <c r="F545" s="157"/>
      <c r="G545" s="157"/>
      <c r="H545" s="157"/>
      <c r="I545" s="157"/>
      <c r="J545" s="157"/>
      <c r="K545" s="157"/>
      <c r="L545" s="157"/>
      <c r="M545" s="157"/>
    </row>
    <row r="546" spans="2:13" ht="15">
      <c r="B546" s="394"/>
      <c r="C546" s="157"/>
      <c r="D546" s="157"/>
      <c r="E546" s="157"/>
      <c r="F546" s="157"/>
      <c r="G546" s="157"/>
      <c r="H546" s="157"/>
      <c r="I546" s="157"/>
      <c r="J546" s="157"/>
      <c r="K546" s="157"/>
      <c r="L546" s="157"/>
      <c r="M546" s="157"/>
    </row>
    <row r="547" spans="2:13" ht="15">
      <c r="B547" s="394"/>
      <c r="C547" s="157"/>
      <c r="D547" s="157"/>
      <c r="E547" s="157"/>
      <c r="F547" s="157"/>
      <c r="G547" s="157"/>
      <c r="H547" s="157"/>
      <c r="I547" s="157"/>
      <c r="J547" s="157"/>
      <c r="K547" s="157"/>
      <c r="L547" s="157"/>
      <c r="M547" s="157"/>
    </row>
    <row r="548" spans="2:13" ht="15">
      <c r="B548" s="394"/>
      <c r="C548" s="157"/>
      <c r="D548" s="157"/>
      <c r="E548" s="157"/>
      <c r="F548" s="157"/>
      <c r="G548" s="157"/>
      <c r="H548" s="157"/>
      <c r="I548" s="157"/>
      <c r="J548" s="157"/>
      <c r="K548" s="157"/>
      <c r="L548" s="157"/>
      <c r="M548" s="157"/>
    </row>
    <row r="549" spans="2:13" ht="15">
      <c r="B549" s="394"/>
      <c r="C549" s="157"/>
      <c r="D549" s="157"/>
      <c r="E549" s="157"/>
      <c r="F549" s="157"/>
      <c r="G549" s="157"/>
      <c r="H549" s="157"/>
      <c r="I549" s="157"/>
      <c r="J549" s="157"/>
      <c r="K549" s="157"/>
      <c r="L549" s="157"/>
      <c r="M549" s="157"/>
    </row>
    <row r="550" spans="2:13" ht="15">
      <c r="B550" s="394"/>
      <c r="C550" s="157"/>
      <c r="D550" s="157"/>
      <c r="E550" s="157"/>
      <c r="F550" s="157"/>
      <c r="G550" s="157"/>
      <c r="H550" s="157"/>
      <c r="I550" s="157"/>
      <c r="J550" s="157"/>
      <c r="K550" s="157"/>
      <c r="L550" s="157"/>
      <c r="M550" s="157"/>
    </row>
    <row r="551" spans="2:13" ht="15">
      <c r="B551" s="394"/>
      <c r="C551" s="157"/>
      <c r="D551" s="157"/>
      <c r="E551" s="157"/>
      <c r="F551" s="157"/>
      <c r="G551" s="157"/>
      <c r="H551" s="157"/>
      <c r="I551" s="157"/>
      <c r="J551" s="157"/>
      <c r="K551" s="157"/>
      <c r="L551" s="157"/>
      <c r="M551" s="157"/>
    </row>
    <row r="552" spans="2:13" ht="15">
      <c r="B552" s="394"/>
      <c r="C552" s="157"/>
      <c r="D552" s="157"/>
      <c r="E552" s="157"/>
      <c r="F552" s="157"/>
      <c r="G552" s="157"/>
      <c r="H552" s="157"/>
      <c r="I552" s="157"/>
      <c r="J552" s="157"/>
      <c r="K552" s="157"/>
      <c r="L552" s="157"/>
      <c r="M552" s="157"/>
    </row>
    <row r="553" spans="2:13" ht="15">
      <c r="B553" s="394"/>
      <c r="C553" s="157"/>
      <c r="D553" s="157"/>
      <c r="E553" s="157"/>
      <c r="F553" s="157"/>
      <c r="G553" s="157"/>
      <c r="H553" s="157"/>
      <c r="I553" s="157"/>
      <c r="J553" s="157"/>
      <c r="K553" s="157"/>
      <c r="L553" s="157"/>
      <c r="M553" s="157"/>
    </row>
    <row r="554" spans="2:13" ht="15">
      <c r="B554" s="394"/>
      <c r="C554" s="157"/>
      <c r="D554" s="157"/>
      <c r="E554" s="157"/>
      <c r="F554" s="157"/>
      <c r="G554" s="157"/>
      <c r="H554" s="157"/>
      <c r="I554" s="157"/>
      <c r="J554" s="157"/>
      <c r="K554" s="157"/>
      <c r="L554" s="157"/>
      <c r="M554" s="157"/>
    </row>
    <row r="555" spans="2:13" ht="15">
      <c r="B555" s="394"/>
      <c r="C555" s="157"/>
      <c r="D555" s="157"/>
      <c r="E555" s="157"/>
      <c r="F555" s="157"/>
      <c r="G555" s="157"/>
      <c r="H555" s="157"/>
      <c r="I555" s="157"/>
      <c r="J555" s="157"/>
      <c r="K555" s="157"/>
      <c r="L555" s="157"/>
      <c r="M555" s="157"/>
    </row>
    <row r="556" spans="2:13" ht="15">
      <c r="B556" s="394"/>
      <c r="C556" s="157"/>
      <c r="D556" s="157"/>
      <c r="E556" s="157"/>
      <c r="F556" s="157"/>
      <c r="G556" s="157"/>
      <c r="H556" s="157"/>
      <c r="I556" s="157"/>
      <c r="J556" s="157"/>
      <c r="K556" s="157"/>
      <c r="L556" s="157"/>
      <c r="M556" s="157"/>
    </row>
    <row r="557" spans="2:13" ht="15">
      <c r="B557" s="394"/>
      <c r="C557" s="157"/>
      <c r="D557" s="157"/>
      <c r="E557" s="157"/>
      <c r="F557" s="157"/>
      <c r="G557" s="157"/>
      <c r="H557" s="157"/>
      <c r="I557" s="157"/>
      <c r="J557" s="157"/>
      <c r="K557" s="157"/>
      <c r="L557" s="157"/>
      <c r="M557" s="157"/>
    </row>
    <row r="558" spans="2:13" ht="15">
      <c r="B558" s="394"/>
      <c r="C558" s="157"/>
      <c r="D558" s="157"/>
      <c r="E558" s="157"/>
      <c r="F558" s="157"/>
      <c r="G558" s="157"/>
      <c r="H558" s="157"/>
      <c r="I558" s="157"/>
      <c r="J558" s="157"/>
      <c r="K558" s="157"/>
      <c r="L558" s="157"/>
      <c r="M558" s="157"/>
    </row>
    <row r="559" spans="2:13" ht="15">
      <c r="B559" s="394"/>
      <c r="C559" s="157"/>
      <c r="D559" s="157"/>
      <c r="E559" s="157"/>
      <c r="F559" s="157"/>
      <c r="G559" s="157"/>
      <c r="H559" s="157"/>
      <c r="I559" s="157"/>
      <c r="J559" s="157"/>
      <c r="K559" s="157"/>
      <c r="L559" s="157"/>
      <c r="M559" s="157"/>
    </row>
    <row r="560" spans="2:13" ht="15">
      <c r="B560" s="394"/>
      <c r="C560" s="157"/>
      <c r="D560" s="157"/>
      <c r="E560" s="157"/>
      <c r="F560" s="157"/>
      <c r="G560" s="157"/>
      <c r="H560" s="157"/>
      <c r="I560" s="157"/>
      <c r="J560" s="157"/>
      <c r="K560" s="157"/>
      <c r="L560" s="157"/>
      <c r="M560" s="157"/>
    </row>
    <row r="561" spans="2:13" ht="15">
      <c r="B561" s="394"/>
      <c r="C561" s="157"/>
      <c r="D561" s="157"/>
      <c r="E561" s="157"/>
      <c r="F561" s="157"/>
      <c r="G561" s="157"/>
      <c r="H561" s="157"/>
      <c r="I561" s="157"/>
      <c r="J561" s="157"/>
      <c r="K561" s="157"/>
      <c r="L561" s="157"/>
      <c r="M561" s="157"/>
    </row>
    <row r="562" spans="2:13" ht="15">
      <c r="B562" s="394"/>
      <c r="C562" s="157"/>
      <c r="D562" s="157"/>
      <c r="E562" s="157"/>
      <c r="F562" s="157"/>
      <c r="G562" s="157"/>
      <c r="H562" s="157"/>
      <c r="I562" s="157"/>
      <c r="J562" s="157"/>
      <c r="K562" s="157"/>
      <c r="L562" s="157"/>
      <c r="M562" s="157"/>
    </row>
    <row r="563" spans="2:13" ht="15">
      <c r="B563" s="394"/>
      <c r="C563" s="157"/>
      <c r="D563" s="157"/>
      <c r="E563" s="157"/>
      <c r="F563" s="157"/>
      <c r="G563" s="157"/>
      <c r="H563" s="157"/>
      <c r="I563" s="157"/>
      <c r="J563" s="157"/>
      <c r="K563" s="157"/>
      <c r="L563" s="157"/>
      <c r="M563" s="157"/>
    </row>
    <row r="564" spans="2:13" ht="15">
      <c r="B564" s="394"/>
      <c r="C564" s="157"/>
      <c r="D564" s="157"/>
      <c r="E564" s="157"/>
      <c r="F564" s="157"/>
      <c r="G564" s="157"/>
      <c r="H564" s="157"/>
      <c r="I564" s="157"/>
      <c r="J564" s="157"/>
      <c r="K564" s="157"/>
      <c r="L564" s="157"/>
      <c r="M564" s="157"/>
    </row>
    <row r="565" spans="2:13" ht="15">
      <c r="B565" s="394"/>
      <c r="C565" s="157"/>
      <c r="D565" s="157"/>
      <c r="E565" s="157"/>
      <c r="F565" s="157"/>
      <c r="G565" s="157"/>
      <c r="H565" s="157"/>
      <c r="I565" s="157"/>
      <c r="J565" s="157"/>
      <c r="K565" s="157"/>
      <c r="L565" s="157"/>
      <c r="M565" s="157"/>
    </row>
    <row r="566" spans="2:13" ht="15">
      <c r="B566" s="394"/>
      <c r="C566" s="157"/>
      <c r="D566" s="157"/>
      <c r="E566" s="157"/>
      <c r="F566" s="157"/>
      <c r="G566" s="157"/>
      <c r="H566" s="157"/>
      <c r="I566" s="157"/>
      <c r="J566" s="157"/>
      <c r="K566" s="157"/>
      <c r="L566" s="157"/>
      <c r="M566" s="157"/>
    </row>
    <row r="567" spans="2:13" ht="15">
      <c r="B567" s="394"/>
      <c r="C567" s="157"/>
      <c r="D567" s="157"/>
      <c r="E567" s="157"/>
      <c r="F567" s="157"/>
      <c r="G567" s="157"/>
      <c r="H567" s="157"/>
      <c r="I567" s="157"/>
      <c r="J567" s="157"/>
      <c r="K567" s="157"/>
      <c r="L567" s="157"/>
      <c r="M567" s="157"/>
    </row>
    <row r="568" spans="2:13" ht="15">
      <c r="B568" s="394"/>
      <c r="C568" s="157"/>
      <c r="D568" s="157"/>
      <c r="E568" s="157"/>
      <c r="F568" s="157"/>
      <c r="G568" s="157"/>
      <c r="H568" s="157"/>
      <c r="I568" s="157"/>
      <c r="J568" s="157"/>
      <c r="K568" s="157"/>
      <c r="L568" s="157"/>
      <c r="M568" s="157"/>
    </row>
    <row r="569" spans="2:13" ht="15">
      <c r="B569" s="394"/>
      <c r="C569" s="157"/>
      <c r="D569" s="157"/>
      <c r="E569" s="157"/>
      <c r="F569" s="157"/>
      <c r="G569" s="157"/>
      <c r="H569" s="157"/>
      <c r="I569" s="157"/>
      <c r="J569" s="157"/>
      <c r="K569" s="157"/>
      <c r="L569" s="157"/>
      <c r="M569" s="157"/>
    </row>
    <row r="570" spans="2:13" ht="15">
      <c r="B570" s="394"/>
      <c r="C570" s="157"/>
      <c r="D570" s="157"/>
      <c r="E570" s="157"/>
      <c r="F570" s="157"/>
      <c r="G570" s="157"/>
      <c r="H570" s="157"/>
      <c r="I570" s="157"/>
      <c r="J570" s="157"/>
      <c r="K570" s="157"/>
      <c r="L570" s="157"/>
      <c r="M570" s="157"/>
    </row>
    <row r="571" spans="2:13" ht="15">
      <c r="B571" s="394"/>
      <c r="C571" s="157"/>
      <c r="D571" s="157"/>
      <c r="E571" s="157"/>
      <c r="F571" s="157"/>
      <c r="G571" s="157"/>
      <c r="H571" s="157"/>
      <c r="I571" s="157"/>
      <c r="J571" s="157"/>
      <c r="K571" s="157"/>
      <c r="L571" s="157"/>
      <c r="M571" s="157"/>
    </row>
    <row r="572" spans="2:13" ht="15">
      <c r="B572" s="394"/>
      <c r="C572" s="157"/>
      <c r="D572" s="157"/>
      <c r="E572" s="157"/>
      <c r="F572" s="157"/>
      <c r="G572" s="157"/>
      <c r="H572" s="157"/>
      <c r="I572" s="157"/>
      <c r="J572" s="157"/>
      <c r="K572" s="157"/>
      <c r="L572" s="157"/>
      <c r="M572" s="157"/>
    </row>
    <row r="573" spans="2:13" ht="15">
      <c r="B573" s="394"/>
      <c r="C573" s="157"/>
      <c r="D573" s="157"/>
      <c r="E573" s="157"/>
      <c r="F573" s="157"/>
      <c r="G573" s="157"/>
      <c r="H573" s="157"/>
      <c r="I573" s="157"/>
      <c r="J573" s="157"/>
      <c r="K573" s="157"/>
      <c r="L573" s="157"/>
      <c r="M573" s="157"/>
    </row>
    <row r="574" spans="2:13" ht="15">
      <c r="B574" s="394"/>
      <c r="C574" s="157"/>
      <c r="D574" s="157"/>
      <c r="E574" s="157"/>
      <c r="F574" s="157"/>
      <c r="G574" s="157"/>
      <c r="H574" s="157"/>
      <c r="I574" s="157"/>
      <c r="J574" s="157"/>
      <c r="K574" s="157"/>
      <c r="L574" s="157"/>
      <c r="M574" s="157"/>
    </row>
    <row r="575" spans="2:13" ht="15">
      <c r="B575" s="394"/>
      <c r="C575" s="157"/>
      <c r="D575" s="157"/>
      <c r="E575" s="157"/>
      <c r="F575" s="157"/>
      <c r="G575" s="157"/>
      <c r="H575" s="157"/>
      <c r="I575" s="157"/>
      <c r="J575" s="157"/>
      <c r="K575" s="157"/>
      <c r="L575" s="157"/>
      <c r="M575" s="157"/>
    </row>
    <row r="576" spans="2:13" ht="15">
      <c r="B576" s="394"/>
      <c r="C576" s="157"/>
      <c r="D576" s="157"/>
      <c r="E576" s="157"/>
      <c r="F576" s="157"/>
      <c r="G576" s="157"/>
      <c r="H576" s="157"/>
      <c r="I576" s="157"/>
      <c r="J576" s="157"/>
      <c r="K576" s="157"/>
      <c r="L576" s="157"/>
      <c r="M576" s="157"/>
    </row>
    <row r="577" spans="2:13" ht="15">
      <c r="B577" s="394"/>
      <c r="C577" s="157"/>
      <c r="D577" s="157"/>
      <c r="E577" s="157"/>
      <c r="F577" s="157"/>
      <c r="G577" s="157"/>
      <c r="H577" s="157"/>
      <c r="I577" s="157"/>
      <c r="J577" s="157"/>
      <c r="K577" s="157"/>
      <c r="L577" s="157"/>
      <c r="M577" s="157"/>
    </row>
    <row r="578" spans="2:13" ht="15">
      <c r="B578" s="394"/>
      <c r="C578" s="157"/>
      <c r="D578" s="157"/>
      <c r="E578" s="157"/>
      <c r="F578" s="157"/>
      <c r="G578" s="157"/>
      <c r="H578" s="157"/>
      <c r="I578" s="157"/>
      <c r="J578" s="157"/>
      <c r="K578" s="157"/>
      <c r="L578" s="157"/>
      <c r="M578" s="157"/>
    </row>
    <row r="579" spans="2:13" ht="15">
      <c r="B579" s="394"/>
      <c r="C579" s="157"/>
      <c r="D579" s="157"/>
      <c r="E579" s="157"/>
      <c r="F579" s="157"/>
      <c r="G579" s="157"/>
      <c r="H579" s="157"/>
      <c r="I579" s="157"/>
      <c r="J579" s="157"/>
      <c r="K579" s="157"/>
      <c r="L579" s="157"/>
      <c r="M579" s="157"/>
    </row>
    <row r="580" spans="2:13" ht="15">
      <c r="B580" s="394"/>
      <c r="C580" s="157"/>
      <c r="D580" s="157"/>
      <c r="E580" s="157"/>
      <c r="F580" s="157"/>
      <c r="G580" s="157"/>
      <c r="H580" s="157"/>
      <c r="I580" s="157"/>
      <c r="J580" s="157"/>
      <c r="K580" s="157"/>
      <c r="L580" s="157"/>
      <c r="M580" s="157"/>
    </row>
    <row r="581" spans="2:13" ht="15">
      <c r="B581" s="394"/>
      <c r="C581" s="157"/>
      <c r="D581" s="157"/>
      <c r="E581" s="157"/>
      <c r="F581" s="157"/>
      <c r="G581" s="157"/>
      <c r="H581" s="157"/>
      <c r="I581" s="157"/>
      <c r="J581" s="157"/>
      <c r="K581" s="157"/>
      <c r="L581" s="157"/>
      <c r="M581" s="157"/>
    </row>
    <row r="582" spans="2:13" ht="15">
      <c r="B582" s="394"/>
      <c r="C582" s="157"/>
      <c r="D582" s="157"/>
      <c r="E582" s="157"/>
      <c r="F582" s="157"/>
      <c r="G582" s="157"/>
      <c r="H582" s="157"/>
      <c r="I582" s="157"/>
      <c r="J582" s="157"/>
      <c r="K582" s="157"/>
      <c r="L582" s="157"/>
      <c r="M582" s="157"/>
    </row>
    <row r="583" spans="2:13" ht="15">
      <c r="B583" s="394"/>
      <c r="C583" s="157"/>
      <c r="D583" s="157"/>
      <c r="E583" s="157"/>
      <c r="F583" s="157"/>
      <c r="G583" s="157"/>
      <c r="H583" s="157"/>
      <c r="I583" s="157"/>
      <c r="J583" s="157"/>
      <c r="K583" s="157"/>
      <c r="L583" s="157"/>
      <c r="M583" s="157"/>
    </row>
    <row r="584" spans="2:13" ht="15">
      <c r="B584" s="394"/>
      <c r="C584" s="157"/>
      <c r="D584" s="157"/>
      <c r="E584" s="157"/>
      <c r="F584" s="157"/>
      <c r="G584" s="157"/>
      <c r="H584" s="157"/>
      <c r="I584" s="157"/>
      <c r="J584" s="157"/>
      <c r="K584" s="157"/>
      <c r="L584" s="157"/>
      <c r="M584" s="157"/>
    </row>
    <row r="585" spans="2:13" ht="15">
      <c r="B585" s="394"/>
      <c r="C585" s="157"/>
      <c r="D585" s="157"/>
      <c r="E585" s="157"/>
      <c r="F585" s="157"/>
      <c r="G585" s="157"/>
      <c r="H585" s="157"/>
      <c r="I585" s="157"/>
      <c r="J585" s="157"/>
      <c r="K585" s="157"/>
      <c r="L585" s="157"/>
      <c r="M585" s="157"/>
    </row>
    <row r="586" spans="2:13" ht="15">
      <c r="B586" s="394"/>
      <c r="C586" s="157"/>
      <c r="D586" s="157"/>
      <c r="E586" s="157"/>
      <c r="F586" s="157"/>
      <c r="G586" s="157"/>
      <c r="H586" s="157"/>
      <c r="I586" s="157"/>
      <c r="J586" s="157"/>
      <c r="K586" s="157"/>
      <c r="L586" s="157"/>
      <c r="M586" s="157"/>
    </row>
    <row r="587" spans="2:13" ht="15">
      <c r="B587" s="394"/>
      <c r="C587" s="157"/>
      <c r="D587" s="157"/>
      <c r="E587" s="157"/>
      <c r="F587" s="157"/>
      <c r="G587" s="157"/>
      <c r="H587" s="157"/>
      <c r="I587" s="157"/>
      <c r="J587" s="157"/>
      <c r="K587" s="157"/>
      <c r="L587" s="157"/>
      <c r="M587" s="157"/>
    </row>
    <row r="588" spans="2:13" ht="15">
      <c r="B588" s="394"/>
      <c r="C588" s="157"/>
      <c r="D588" s="157"/>
      <c r="E588" s="157"/>
      <c r="F588" s="157"/>
      <c r="G588" s="157"/>
      <c r="H588" s="157"/>
      <c r="I588" s="157"/>
      <c r="J588" s="157"/>
      <c r="K588" s="157"/>
      <c r="L588" s="157"/>
      <c r="M588" s="157"/>
    </row>
    <row r="589" spans="2:13" ht="15">
      <c r="B589" s="394"/>
      <c r="C589" s="157"/>
      <c r="D589" s="157"/>
      <c r="E589" s="157"/>
      <c r="F589" s="157"/>
      <c r="G589" s="157"/>
      <c r="H589" s="157"/>
      <c r="I589" s="157"/>
      <c r="J589" s="157"/>
      <c r="K589" s="157"/>
      <c r="L589" s="157"/>
      <c r="M589" s="157"/>
    </row>
    <row r="590" spans="2:13" ht="15">
      <c r="B590" s="394"/>
      <c r="C590" s="157"/>
      <c r="D590" s="157"/>
      <c r="E590" s="157"/>
      <c r="F590" s="157"/>
      <c r="G590" s="157"/>
      <c r="H590" s="157"/>
      <c r="I590" s="157"/>
      <c r="J590" s="157"/>
      <c r="K590" s="157"/>
      <c r="L590" s="157"/>
      <c r="M590" s="157"/>
    </row>
    <row r="591" spans="2:13" ht="15">
      <c r="B591" s="394"/>
      <c r="C591" s="157"/>
      <c r="D591" s="157"/>
      <c r="E591" s="157"/>
      <c r="F591" s="157"/>
      <c r="G591" s="157"/>
      <c r="H591" s="157"/>
      <c r="I591" s="157"/>
      <c r="J591" s="157"/>
      <c r="K591" s="157"/>
      <c r="L591" s="157"/>
      <c r="M591" s="157"/>
    </row>
    <row r="592" spans="2:13" ht="15">
      <c r="B592" s="394"/>
      <c r="C592" s="157"/>
      <c r="D592" s="157"/>
      <c r="E592" s="157"/>
      <c r="F592" s="157"/>
      <c r="G592" s="157"/>
      <c r="H592" s="157"/>
      <c r="I592" s="157"/>
      <c r="J592" s="157"/>
      <c r="K592" s="157"/>
      <c r="L592" s="157"/>
      <c r="M592" s="157"/>
    </row>
    <row r="593" spans="2:13" ht="15">
      <c r="B593" s="394"/>
      <c r="C593" s="157"/>
      <c r="D593" s="157"/>
      <c r="E593" s="157"/>
      <c r="F593" s="157"/>
      <c r="G593" s="157"/>
      <c r="H593" s="157"/>
      <c r="I593" s="157"/>
      <c r="J593" s="157"/>
      <c r="K593" s="157"/>
      <c r="L593" s="157"/>
      <c r="M593" s="157"/>
    </row>
    <row r="594" spans="2:13" ht="15">
      <c r="B594" s="394"/>
      <c r="C594" s="157"/>
      <c r="D594" s="157"/>
      <c r="E594" s="157"/>
      <c r="F594" s="157"/>
      <c r="G594" s="157"/>
      <c r="H594" s="157"/>
      <c r="I594" s="157"/>
      <c r="J594" s="157"/>
      <c r="K594" s="157"/>
      <c r="L594" s="157"/>
      <c r="M594" s="157"/>
    </row>
    <row r="595" spans="2:13" ht="15">
      <c r="B595" s="394"/>
      <c r="C595" s="157"/>
      <c r="D595" s="157"/>
      <c r="E595" s="157"/>
      <c r="F595" s="157"/>
      <c r="G595" s="157"/>
      <c r="H595" s="157"/>
      <c r="I595" s="157"/>
      <c r="J595" s="157"/>
      <c r="K595" s="157"/>
      <c r="L595" s="157"/>
      <c r="M595" s="157"/>
    </row>
    <row r="596" spans="2:13" ht="15">
      <c r="B596" s="394"/>
      <c r="C596" s="157"/>
      <c r="D596" s="157"/>
      <c r="E596" s="157"/>
      <c r="F596" s="157"/>
      <c r="G596" s="157"/>
      <c r="H596" s="157"/>
      <c r="I596" s="157"/>
      <c r="J596" s="157"/>
      <c r="K596" s="157"/>
      <c r="L596" s="157"/>
      <c r="M596" s="157"/>
    </row>
    <row r="597" spans="2:13" ht="15">
      <c r="B597" s="394"/>
      <c r="C597" s="157"/>
      <c r="D597" s="157"/>
      <c r="E597" s="157"/>
      <c r="F597" s="157"/>
      <c r="G597" s="157"/>
      <c r="H597" s="157"/>
      <c r="I597" s="157"/>
      <c r="J597" s="157"/>
      <c r="K597" s="157"/>
      <c r="L597" s="157"/>
      <c r="M597" s="157"/>
    </row>
    <row r="598" spans="2:13" ht="15">
      <c r="B598" s="394"/>
      <c r="C598" s="157"/>
      <c r="D598" s="157"/>
      <c r="E598" s="157"/>
      <c r="F598" s="157"/>
      <c r="G598" s="157"/>
      <c r="H598" s="157"/>
      <c r="I598" s="157"/>
      <c r="J598" s="157"/>
      <c r="K598" s="157"/>
      <c r="L598" s="157"/>
      <c r="M598" s="157"/>
    </row>
    <row r="599" spans="2:13" ht="15">
      <c r="B599" s="394"/>
      <c r="C599" s="157"/>
      <c r="D599" s="157"/>
      <c r="E599" s="157"/>
      <c r="F599" s="157"/>
      <c r="G599" s="157"/>
      <c r="H599" s="157"/>
      <c r="I599" s="157"/>
      <c r="J599" s="157"/>
      <c r="K599" s="157"/>
      <c r="L599" s="157"/>
      <c r="M599" s="157"/>
    </row>
    <row r="600" spans="2:13" ht="15">
      <c r="B600" s="394"/>
      <c r="C600" s="157"/>
      <c r="D600" s="157"/>
      <c r="E600" s="157"/>
      <c r="F600" s="157"/>
      <c r="G600" s="157"/>
      <c r="H600" s="157"/>
      <c r="I600" s="157"/>
      <c r="J600" s="157"/>
      <c r="K600" s="157"/>
      <c r="L600" s="157"/>
      <c r="M600" s="157"/>
    </row>
    <row r="601" spans="2:13" ht="15">
      <c r="B601" s="394"/>
      <c r="C601" s="157"/>
      <c r="D601" s="157"/>
      <c r="E601" s="157"/>
      <c r="F601" s="157"/>
      <c r="G601" s="157"/>
      <c r="H601" s="157"/>
      <c r="I601" s="157"/>
      <c r="J601" s="157"/>
      <c r="K601" s="157"/>
      <c r="L601" s="157"/>
      <c r="M601" s="157"/>
    </row>
    <row r="602" spans="2:13" ht="15">
      <c r="B602" s="394"/>
      <c r="C602" s="157"/>
      <c r="D602" s="157"/>
      <c r="E602" s="157"/>
      <c r="F602" s="157"/>
      <c r="G602" s="157"/>
      <c r="H602" s="157"/>
      <c r="I602" s="157"/>
      <c r="J602" s="157"/>
      <c r="K602" s="157"/>
      <c r="L602" s="157"/>
      <c r="M602" s="157"/>
    </row>
    <row r="603" spans="2:13" ht="15">
      <c r="B603" s="394"/>
      <c r="C603" s="157"/>
      <c r="D603" s="157"/>
      <c r="E603" s="157"/>
      <c r="F603" s="157"/>
      <c r="G603" s="157"/>
      <c r="H603" s="157"/>
      <c r="I603" s="157"/>
      <c r="J603" s="157"/>
      <c r="K603" s="157"/>
      <c r="L603" s="157"/>
      <c r="M603" s="157"/>
    </row>
    <row r="604" spans="2:13" ht="15">
      <c r="B604" s="394"/>
      <c r="C604" s="157"/>
      <c r="D604" s="157"/>
      <c r="E604" s="157"/>
      <c r="F604" s="157"/>
      <c r="G604" s="157"/>
      <c r="H604" s="157"/>
      <c r="I604" s="157"/>
      <c r="J604" s="157"/>
      <c r="K604" s="157"/>
      <c r="L604" s="157"/>
      <c r="M604" s="157"/>
    </row>
    <row r="605" spans="2:13" ht="15">
      <c r="B605" s="394"/>
      <c r="C605" s="157"/>
      <c r="D605" s="157"/>
      <c r="E605" s="157"/>
      <c r="F605" s="157"/>
      <c r="G605" s="157"/>
      <c r="H605" s="157"/>
      <c r="I605" s="157"/>
      <c r="J605" s="157"/>
      <c r="K605" s="157"/>
      <c r="L605" s="157"/>
      <c r="M605" s="157"/>
    </row>
    <row r="606" spans="2:13" ht="15">
      <c r="B606" s="394"/>
      <c r="C606" s="157"/>
      <c r="D606" s="157"/>
      <c r="E606" s="157"/>
      <c r="F606" s="157"/>
      <c r="G606" s="157"/>
      <c r="H606" s="157"/>
      <c r="I606" s="157"/>
      <c r="J606" s="157"/>
      <c r="K606" s="157"/>
      <c r="L606" s="157"/>
      <c r="M606" s="157"/>
    </row>
    <row r="607" spans="2:13" ht="15">
      <c r="B607" s="394"/>
      <c r="C607" s="157"/>
      <c r="D607" s="157"/>
      <c r="E607" s="157"/>
      <c r="F607" s="157"/>
      <c r="G607" s="157"/>
      <c r="H607" s="157"/>
      <c r="I607" s="157"/>
      <c r="J607" s="157"/>
      <c r="K607" s="157"/>
      <c r="L607" s="157"/>
      <c r="M607" s="157"/>
    </row>
    <row r="608" spans="2:13" ht="15">
      <c r="B608" s="394"/>
      <c r="C608" s="157"/>
      <c r="D608" s="157"/>
      <c r="E608" s="157"/>
      <c r="F608" s="157"/>
      <c r="G608" s="157"/>
      <c r="H608" s="157"/>
      <c r="I608" s="157"/>
      <c r="J608" s="157"/>
      <c r="K608" s="157"/>
      <c r="L608" s="157"/>
      <c r="M608" s="157"/>
    </row>
    <row r="609" spans="2:13" ht="15">
      <c r="B609" s="394"/>
      <c r="C609" s="157"/>
      <c r="D609" s="157"/>
      <c r="E609" s="157"/>
      <c r="F609" s="157"/>
      <c r="G609" s="157"/>
      <c r="H609" s="157"/>
      <c r="I609" s="157"/>
      <c r="J609" s="157"/>
      <c r="K609" s="157"/>
      <c r="L609" s="157"/>
      <c r="M609" s="157"/>
    </row>
    <row r="610" spans="2:13" ht="15">
      <c r="B610" s="394"/>
      <c r="C610" s="157"/>
      <c r="D610" s="157"/>
      <c r="E610" s="157"/>
      <c r="F610" s="157"/>
      <c r="G610" s="157"/>
      <c r="H610" s="157"/>
      <c r="I610" s="157"/>
      <c r="J610" s="157"/>
      <c r="K610" s="157"/>
      <c r="L610" s="157"/>
      <c r="M610" s="157"/>
    </row>
    <row r="611" spans="2:13" ht="15">
      <c r="B611" s="394"/>
      <c r="C611" s="157"/>
      <c r="D611" s="157"/>
      <c r="E611" s="157"/>
      <c r="F611" s="157"/>
      <c r="G611" s="157"/>
      <c r="H611" s="157"/>
      <c r="I611" s="157"/>
      <c r="J611" s="157"/>
      <c r="K611" s="157"/>
      <c r="L611" s="157"/>
      <c r="M611" s="157"/>
    </row>
    <row r="612" spans="2:13" ht="15">
      <c r="B612" s="394"/>
      <c r="C612" s="157"/>
      <c r="D612" s="157"/>
      <c r="E612" s="157"/>
      <c r="F612" s="157"/>
      <c r="G612" s="157"/>
      <c r="H612" s="157"/>
      <c r="I612" s="157"/>
      <c r="J612" s="157"/>
      <c r="K612" s="157"/>
      <c r="L612" s="157"/>
      <c r="M612" s="157"/>
    </row>
    <row r="613" spans="2:13" ht="15">
      <c r="B613" s="394"/>
      <c r="C613" s="157"/>
      <c r="D613" s="157"/>
      <c r="E613" s="157"/>
      <c r="F613" s="157"/>
      <c r="G613" s="157"/>
      <c r="H613" s="157"/>
      <c r="I613" s="157"/>
      <c r="J613" s="157"/>
      <c r="K613" s="157"/>
      <c r="L613" s="157"/>
      <c r="M613" s="157"/>
    </row>
    <row r="614" spans="2:13" ht="15">
      <c r="B614" s="394"/>
      <c r="C614" s="157"/>
      <c r="D614" s="157"/>
      <c r="E614" s="157"/>
      <c r="F614" s="157"/>
      <c r="G614" s="157"/>
      <c r="H614" s="157"/>
      <c r="I614" s="157"/>
      <c r="J614" s="157"/>
      <c r="K614" s="157"/>
      <c r="L614" s="157"/>
      <c r="M614" s="157"/>
    </row>
    <row r="615" spans="2:13" ht="15">
      <c r="B615" s="394"/>
      <c r="C615" s="157"/>
      <c r="D615" s="157"/>
      <c r="E615" s="157"/>
      <c r="F615" s="157"/>
      <c r="G615" s="157"/>
      <c r="H615" s="157"/>
      <c r="I615" s="157"/>
      <c r="J615" s="157"/>
      <c r="K615" s="157"/>
      <c r="L615" s="157"/>
      <c r="M615" s="157"/>
    </row>
    <row r="616" spans="2:13" ht="15">
      <c r="B616" s="394"/>
      <c r="C616" s="157"/>
      <c r="D616" s="157"/>
      <c r="E616" s="157"/>
      <c r="F616" s="157"/>
      <c r="G616" s="157"/>
      <c r="H616" s="157"/>
      <c r="I616" s="157"/>
      <c r="J616" s="157"/>
      <c r="K616" s="157"/>
      <c r="L616" s="157"/>
      <c r="M616" s="157"/>
    </row>
    <row r="617" spans="2:13" ht="15">
      <c r="B617" s="394"/>
      <c r="C617" s="157"/>
      <c r="D617" s="157"/>
      <c r="E617" s="157"/>
      <c r="F617" s="157"/>
      <c r="G617" s="157"/>
      <c r="H617" s="157"/>
      <c r="I617" s="157"/>
      <c r="J617" s="157"/>
      <c r="K617" s="157"/>
      <c r="L617" s="157"/>
      <c r="M617" s="157"/>
    </row>
    <row r="618" spans="2:13" ht="15">
      <c r="B618" s="394"/>
      <c r="C618" s="157"/>
      <c r="D618" s="157"/>
      <c r="E618" s="157"/>
      <c r="F618" s="157"/>
      <c r="G618" s="157"/>
      <c r="H618" s="157"/>
      <c r="I618" s="157"/>
      <c r="J618" s="157"/>
      <c r="K618" s="157"/>
      <c r="L618" s="157"/>
      <c r="M618" s="157"/>
    </row>
    <row r="619" spans="2:13" ht="15">
      <c r="B619" s="394"/>
      <c r="C619" s="157"/>
      <c r="D619" s="157"/>
      <c r="E619" s="157"/>
      <c r="F619" s="157"/>
      <c r="G619" s="157"/>
      <c r="H619" s="157"/>
      <c r="I619" s="157"/>
      <c r="J619" s="157"/>
      <c r="K619" s="157"/>
      <c r="L619" s="157"/>
      <c r="M619" s="157"/>
    </row>
    <row r="620" spans="2:13" ht="15">
      <c r="B620" s="394"/>
      <c r="C620" s="157"/>
      <c r="D620" s="157"/>
      <c r="E620" s="157"/>
      <c r="F620" s="157"/>
      <c r="G620" s="157"/>
      <c r="H620" s="157"/>
      <c r="I620" s="157"/>
      <c r="J620" s="157"/>
      <c r="K620" s="157"/>
      <c r="L620" s="157"/>
      <c r="M620" s="157"/>
    </row>
    <row r="621" spans="2:13" ht="15">
      <c r="B621" s="394"/>
      <c r="C621" s="157"/>
      <c r="D621" s="157"/>
      <c r="E621" s="157"/>
      <c r="F621" s="157"/>
      <c r="G621" s="157"/>
      <c r="H621" s="157"/>
      <c r="I621" s="157"/>
      <c r="J621" s="157"/>
      <c r="K621" s="157"/>
      <c r="L621" s="157"/>
      <c r="M621" s="157"/>
    </row>
    <row r="622" spans="2:13" ht="15">
      <c r="B622" s="394"/>
      <c r="C622" s="157"/>
      <c r="D622" s="157"/>
      <c r="E622" s="157"/>
      <c r="F622" s="157"/>
      <c r="G622" s="157"/>
      <c r="H622" s="157"/>
      <c r="I622" s="157"/>
      <c r="J622" s="157"/>
      <c r="K622" s="157"/>
      <c r="L622" s="157"/>
      <c r="M622" s="157"/>
    </row>
    <row r="623" spans="2:13" ht="15">
      <c r="B623" s="394"/>
      <c r="C623" s="157"/>
      <c r="D623" s="157"/>
      <c r="E623" s="157"/>
      <c r="F623" s="157"/>
      <c r="G623" s="157"/>
      <c r="H623" s="157"/>
      <c r="I623" s="157"/>
      <c r="J623" s="157"/>
      <c r="K623" s="157"/>
      <c r="L623" s="157"/>
      <c r="M623" s="157"/>
    </row>
    <row r="624" spans="2:13" ht="15">
      <c r="B624" s="394"/>
      <c r="C624" s="157"/>
      <c r="D624" s="157"/>
      <c r="E624" s="157"/>
      <c r="F624" s="157"/>
      <c r="G624" s="157"/>
      <c r="H624" s="157"/>
      <c r="I624" s="157"/>
      <c r="J624" s="157"/>
      <c r="K624" s="157"/>
      <c r="L624" s="157"/>
      <c r="M624" s="157"/>
    </row>
    <row r="625" spans="2:13" ht="15">
      <c r="B625" s="394"/>
      <c r="C625" s="157"/>
      <c r="D625" s="157"/>
      <c r="E625" s="157"/>
      <c r="F625" s="157"/>
      <c r="G625" s="157"/>
      <c r="H625" s="157"/>
      <c r="I625" s="157"/>
      <c r="J625" s="157"/>
      <c r="K625" s="157"/>
      <c r="L625" s="157"/>
      <c r="M625" s="157"/>
    </row>
    <row r="626" spans="2:13" ht="15">
      <c r="B626" s="394"/>
      <c r="C626" s="157"/>
      <c r="D626" s="157"/>
      <c r="E626" s="157"/>
      <c r="F626" s="157"/>
      <c r="G626" s="157"/>
      <c r="H626" s="157"/>
      <c r="I626" s="157"/>
      <c r="J626" s="157"/>
      <c r="K626" s="157"/>
      <c r="L626" s="157"/>
      <c r="M626" s="157"/>
    </row>
    <row r="627" spans="2:13" ht="15">
      <c r="B627" s="394"/>
      <c r="C627" s="157"/>
      <c r="D627" s="157"/>
      <c r="E627" s="157"/>
      <c r="F627" s="157"/>
      <c r="G627" s="157"/>
      <c r="H627" s="157"/>
      <c r="I627" s="157"/>
      <c r="J627" s="157"/>
      <c r="K627" s="157"/>
      <c r="L627" s="157"/>
      <c r="M627" s="157"/>
    </row>
    <row r="628" spans="2:13" ht="15">
      <c r="B628" s="394"/>
      <c r="C628" s="157"/>
      <c r="D628" s="157"/>
      <c r="E628" s="157"/>
      <c r="F628" s="157"/>
      <c r="G628" s="157"/>
      <c r="H628" s="157"/>
      <c r="I628" s="157"/>
      <c r="J628" s="157"/>
      <c r="K628" s="157"/>
      <c r="L628" s="157"/>
      <c r="M628" s="157"/>
    </row>
    <row r="629" spans="2:13" ht="15">
      <c r="B629" s="394"/>
      <c r="C629" s="157"/>
      <c r="D629" s="157"/>
      <c r="E629" s="157"/>
      <c r="F629" s="157"/>
      <c r="G629" s="157"/>
      <c r="H629" s="157"/>
      <c r="I629" s="157"/>
      <c r="J629" s="157"/>
      <c r="K629" s="157"/>
      <c r="L629" s="157"/>
      <c r="M629" s="157"/>
    </row>
    <row r="630" spans="2:13" ht="15">
      <c r="B630" s="394"/>
      <c r="C630" s="157"/>
      <c r="D630" s="157"/>
      <c r="E630" s="157"/>
      <c r="F630" s="157"/>
      <c r="G630" s="157"/>
      <c r="H630" s="157"/>
      <c r="I630" s="157"/>
      <c r="J630" s="157"/>
      <c r="K630" s="157"/>
      <c r="L630" s="157"/>
      <c r="M630" s="157"/>
    </row>
    <row r="631" spans="2:13" ht="15">
      <c r="B631" s="394"/>
      <c r="C631" s="157"/>
      <c r="D631" s="157"/>
      <c r="E631" s="157"/>
      <c r="F631" s="157"/>
      <c r="G631" s="157"/>
      <c r="H631" s="157"/>
      <c r="I631" s="157"/>
      <c r="J631" s="157"/>
      <c r="K631" s="157"/>
      <c r="L631" s="157"/>
      <c r="M631" s="157"/>
    </row>
    <row r="632" spans="2:13" ht="15">
      <c r="B632" s="394"/>
      <c r="C632" s="157"/>
      <c r="D632" s="157"/>
      <c r="E632" s="157"/>
      <c r="F632" s="157"/>
      <c r="G632" s="157"/>
      <c r="H632" s="157"/>
      <c r="I632" s="157"/>
      <c r="J632" s="157"/>
      <c r="K632" s="157"/>
      <c r="L632" s="157"/>
      <c r="M632" s="157"/>
    </row>
    <row r="633" spans="2:13" ht="15">
      <c r="B633" s="394"/>
      <c r="C633" s="157"/>
      <c r="D633" s="157"/>
      <c r="E633" s="157"/>
      <c r="F633" s="157"/>
      <c r="G633" s="157"/>
      <c r="H633" s="157"/>
      <c r="I633" s="157"/>
      <c r="J633" s="157"/>
      <c r="K633" s="157"/>
      <c r="L633" s="157"/>
      <c r="M633" s="157"/>
    </row>
    <row r="634" spans="2:13" ht="15">
      <c r="B634" s="394"/>
      <c r="C634" s="157"/>
      <c r="D634" s="157"/>
      <c r="E634" s="157"/>
      <c r="F634" s="157"/>
      <c r="G634" s="157"/>
      <c r="H634" s="157"/>
      <c r="I634" s="157"/>
      <c r="J634" s="157"/>
      <c r="K634" s="157"/>
      <c r="L634" s="157"/>
      <c r="M634" s="157"/>
    </row>
    <row r="635" spans="2:13" ht="15">
      <c r="B635" s="394"/>
      <c r="C635" s="157"/>
      <c r="D635" s="157"/>
      <c r="E635" s="157"/>
      <c r="F635" s="157"/>
      <c r="G635" s="157"/>
      <c r="H635" s="157"/>
      <c r="I635" s="157"/>
      <c r="J635" s="157"/>
      <c r="K635" s="157"/>
      <c r="L635" s="157"/>
      <c r="M635" s="157"/>
    </row>
    <row r="636" spans="2:13" ht="15">
      <c r="B636" s="394"/>
      <c r="C636" s="157"/>
      <c r="D636" s="157"/>
      <c r="E636" s="157"/>
      <c r="F636" s="157"/>
      <c r="G636" s="157"/>
      <c r="H636" s="157"/>
      <c r="I636" s="157"/>
      <c r="J636" s="157"/>
      <c r="K636" s="157"/>
      <c r="L636" s="157"/>
      <c r="M636" s="157"/>
    </row>
    <row r="637" spans="2:13" ht="15">
      <c r="B637" s="394"/>
      <c r="C637" s="157"/>
      <c r="D637" s="157"/>
      <c r="E637" s="157"/>
      <c r="F637" s="157"/>
      <c r="G637" s="157"/>
      <c r="H637" s="157"/>
      <c r="I637" s="157"/>
      <c r="J637" s="157"/>
      <c r="K637" s="157"/>
      <c r="L637" s="157"/>
      <c r="M637" s="157"/>
    </row>
    <row r="638" spans="2:13" ht="15">
      <c r="B638" s="394"/>
      <c r="C638" s="157"/>
      <c r="D638" s="157"/>
      <c r="E638" s="157"/>
      <c r="F638" s="157"/>
      <c r="G638" s="157"/>
      <c r="H638" s="157"/>
      <c r="I638" s="157"/>
      <c r="J638" s="157"/>
      <c r="K638" s="157"/>
      <c r="L638" s="157"/>
      <c r="M638" s="157"/>
    </row>
    <row r="639" spans="2:13" ht="15">
      <c r="B639" s="394"/>
      <c r="C639" s="157"/>
      <c r="D639" s="157"/>
      <c r="E639" s="157"/>
      <c r="F639" s="157"/>
      <c r="G639" s="157"/>
      <c r="H639" s="157"/>
      <c r="I639" s="157"/>
      <c r="J639" s="157"/>
      <c r="K639" s="157"/>
      <c r="L639" s="157"/>
      <c r="M639" s="157"/>
    </row>
    <row r="640" spans="2:13" ht="15">
      <c r="B640" s="394"/>
      <c r="C640" s="157"/>
      <c r="D640" s="157"/>
      <c r="E640" s="157"/>
      <c r="F640" s="157"/>
      <c r="G640" s="157"/>
      <c r="H640" s="157"/>
      <c r="I640" s="157"/>
      <c r="J640" s="157"/>
      <c r="K640" s="157"/>
      <c r="L640" s="157"/>
      <c r="M640" s="157"/>
    </row>
    <row r="641" spans="2:13" ht="15">
      <c r="B641" s="394"/>
      <c r="C641" s="157"/>
      <c r="D641" s="157"/>
      <c r="E641" s="157"/>
      <c r="F641" s="157"/>
      <c r="G641" s="157"/>
      <c r="H641" s="157"/>
      <c r="I641" s="157"/>
      <c r="J641" s="157"/>
      <c r="K641" s="157"/>
      <c r="L641" s="157"/>
      <c r="M641" s="157"/>
    </row>
    <row r="642" spans="2:13" ht="15">
      <c r="B642" s="394"/>
      <c r="C642" s="157"/>
      <c r="D642" s="157"/>
      <c r="E642" s="157"/>
      <c r="F642" s="157"/>
      <c r="G642" s="157"/>
      <c r="H642" s="157"/>
      <c r="I642" s="157"/>
      <c r="J642" s="157"/>
      <c r="K642" s="157"/>
      <c r="L642" s="157"/>
      <c r="M642" s="157"/>
    </row>
    <row r="643" spans="2:13" ht="15">
      <c r="B643" s="394"/>
      <c r="C643" s="157"/>
      <c r="D643" s="157"/>
      <c r="E643" s="157"/>
      <c r="F643" s="157"/>
      <c r="G643" s="157"/>
      <c r="H643" s="157"/>
      <c r="I643" s="157"/>
      <c r="J643" s="157"/>
      <c r="K643" s="157"/>
      <c r="L643" s="157"/>
      <c r="M643" s="157"/>
    </row>
    <row r="644" spans="2:13" ht="15">
      <c r="B644" s="394"/>
      <c r="C644" s="157"/>
      <c r="D644" s="157"/>
      <c r="E644" s="157"/>
      <c r="F644" s="157"/>
      <c r="G644" s="157"/>
      <c r="H644" s="157"/>
      <c r="I644" s="157"/>
      <c r="J644" s="157"/>
      <c r="K644" s="157"/>
      <c r="L644" s="157"/>
      <c r="M644" s="157"/>
    </row>
    <row r="645" spans="2:13" ht="15">
      <c r="B645" s="394"/>
      <c r="C645" s="157"/>
      <c r="D645" s="157"/>
      <c r="E645" s="157"/>
      <c r="F645" s="157"/>
      <c r="G645" s="157"/>
      <c r="H645" s="157"/>
      <c r="I645" s="157"/>
      <c r="J645" s="157"/>
      <c r="K645" s="157"/>
      <c r="L645" s="157"/>
      <c r="M645" s="157"/>
    </row>
    <row r="646" spans="2:13" ht="15">
      <c r="B646" s="394"/>
      <c r="C646" s="157"/>
      <c r="D646" s="157"/>
      <c r="E646" s="157"/>
      <c r="F646" s="157"/>
      <c r="G646" s="157"/>
      <c r="H646" s="157"/>
      <c r="I646" s="157"/>
      <c r="J646" s="157"/>
      <c r="K646" s="157"/>
      <c r="L646" s="157"/>
      <c r="M646" s="157"/>
    </row>
    <row r="647" spans="2:13" ht="15">
      <c r="B647" s="394"/>
      <c r="C647" s="157"/>
      <c r="D647" s="157"/>
      <c r="E647" s="157"/>
      <c r="F647" s="157"/>
      <c r="G647" s="157"/>
      <c r="H647" s="157"/>
      <c r="I647" s="157"/>
      <c r="J647" s="157"/>
      <c r="K647" s="157"/>
      <c r="L647" s="157"/>
      <c r="M647" s="157"/>
    </row>
    <row r="648" spans="2:13" ht="15">
      <c r="B648" s="394"/>
      <c r="C648" s="157"/>
      <c r="D648" s="157"/>
      <c r="E648" s="157"/>
      <c r="F648" s="157"/>
      <c r="G648" s="157"/>
      <c r="H648" s="157"/>
      <c r="I648" s="157"/>
      <c r="J648" s="157"/>
      <c r="K648" s="157"/>
      <c r="L648" s="157"/>
      <c r="M648" s="157"/>
    </row>
    <row r="649" spans="2:13" ht="15">
      <c r="B649" s="394"/>
      <c r="C649" s="157"/>
      <c r="D649" s="157"/>
      <c r="E649" s="157"/>
      <c r="F649" s="157"/>
      <c r="G649" s="157"/>
      <c r="H649" s="157"/>
      <c r="I649" s="157"/>
      <c r="J649" s="157"/>
      <c r="K649" s="157"/>
      <c r="L649" s="157"/>
      <c r="M649" s="157"/>
    </row>
    <row r="650" spans="2:13" ht="15">
      <c r="B650" s="394"/>
      <c r="C650" s="157"/>
      <c r="D650" s="157"/>
      <c r="E650" s="157"/>
      <c r="F650" s="157"/>
      <c r="G650" s="157"/>
      <c r="H650" s="157"/>
      <c r="I650" s="157"/>
      <c r="J650" s="157"/>
      <c r="K650" s="157"/>
      <c r="L650" s="157"/>
      <c r="M650" s="157"/>
    </row>
    <row r="651" spans="2:13" ht="15">
      <c r="B651" s="394"/>
      <c r="C651" s="157"/>
      <c r="D651" s="157"/>
      <c r="E651" s="157"/>
      <c r="F651" s="157"/>
      <c r="G651" s="157"/>
      <c r="H651" s="157"/>
      <c r="I651" s="157"/>
      <c r="J651" s="157"/>
      <c r="K651" s="157"/>
      <c r="L651" s="157"/>
      <c r="M651" s="157"/>
    </row>
    <row r="652" spans="2:13" ht="15">
      <c r="B652" s="394"/>
      <c r="C652" s="157"/>
      <c r="D652" s="157"/>
      <c r="E652" s="157"/>
      <c r="F652" s="157"/>
      <c r="G652" s="157"/>
      <c r="H652" s="157"/>
      <c r="I652" s="157"/>
      <c r="J652" s="157"/>
      <c r="K652" s="157"/>
      <c r="L652" s="157"/>
      <c r="M652" s="157"/>
    </row>
    <row r="653" spans="2:13" ht="15">
      <c r="B653" s="394"/>
      <c r="C653" s="157"/>
      <c r="D653" s="157"/>
      <c r="E653" s="157"/>
      <c r="F653" s="157"/>
      <c r="G653" s="157"/>
      <c r="H653" s="157"/>
      <c r="I653" s="157"/>
      <c r="J653" s="157"/>
      <c r="K653" s="157"/>
      <c r="L653" s="157"/>
      <c r="M653" s="157"/>
    </row>
    <row r="654" spans="2:13" ht="15">
      <c r="B654" s="394"/>
      <c r="C654" s="157"/>
      <c r="D654" s="157"/>
      <c r="E654" s="157"/>
      <c r="F654" s="157"/>
      <c r="G654" s="157"/>
      <c r="H654" s="157"/>
      <c r="I654" s="157"/>
      <c r="J654" s="157"/>
      <c r="K654" s="157"/>
      <c r="L654" s="157"/>
      <c r="M654" s="157"/>
    </row>
    <row r="655" spans="2:13" ht="15">
      <c r="B655" s="394"/>
      <c r="C655" s="157"/>
      <c r="D655" s="157"/>
      <c r="E655" s="157"/>
      <c r="F655" s="157"/>
      <c r="G655" s="157"/>
      <c r="H655" s="157"/>
      <c r="I655" s="157"/>
      <c r="J655" s="157"/>
      <c r="K655" s="157"/>
      <c r="L655" s="157"/>
      <c r="M655" s="157"/>
    </row>
    <row r="656" spans="2:13" ht="15">
      <c r="B656" s="394"/>
      <c r="C656" s="157"/>
      <c r="D656" s="157"/>
      <c r="E656" s="157"/>
      <c r="F656" s="157"/>
      <c r="G656" s="157"/>
      <c r="H656" s="157"/>
      <c r="I656" s="157"/>
      <c r="J656" s="157"/>
      <c r="K656" s="157"/>
      <c r="L656" s="157"/>
      <c r="M656" s="157"/>
    </row>
    <row r="657" spans="2:13" ht="15">
      <c r="B657" s="394"/>
      <c r="C657" s="157"/>
      <c r="D657" s="157"/>
      <c r="E657" s="157"/>
      <c r="F657" s="157"/>
      <c r="G657" s="157"/>
      <c r="H657" s="157"/>
      <c r="I657" s="157"/>
      <c r="J657" s="157"/>
      <c r="K657" s="157"/>
      <c r="L657" s="157"/>
      <c r="M657" s="157"/>
    </row>
    <row r="658" spans="2:13" ht="15">
      <c r="B658" s="394"/>
      <c r="C658" s="157"/>
      <c r="D658" s="157"/>
      <c r="E658" s="157"/>
      <c r="F658" s="157"/>
      <c r="G658" s="157"/>
      <c r="H658" s="157"/>
      <c r="I658" s="157"/>
      <c r="J658" s="157"/>
      <c r="K658" s="157"/>
      <c r="L658" s="157"/>
      <c r="M658" s="157"/>
    </row>
    <row r="659" spans="2:13" ht="15">
      <c r="B659" s="394"/>
      <c r="C659" s="157"/>
      <c r="D659" s="157"/>
      <c r="E659" s="157"/>
      <c r="F659" s="157"/>
      <c r="G659" s="157"/>
      <c r="H659" s="157"/>
      <c r="I659" s="157"/>
      <c r="J659" s="157"/>
      <c r="K659" s="157"/>
      <c r="L659" s="157"/>
      <c r="M659" s="157"/>
    </row>
    <row r="660" spans="2:13" ht="15">
      <c r="B660" s="394"/>
      <c r="C660" s="157"/>
      <c r="D660" s="157"/>
      <c r="E660" s="157"/>
      <c r="F660" s="157"/>
      <c r="G660" s="157"/>
      <c r="H660" s="157"/>
      <c r="I660" s="157"/>
      <c r="J660" s="157"/>
      <c r="K660" s="157"/>
      <c r="L660" s="157"/>
      <c r="M660" s="157"/>
    </row>
    <row r="661" spans="2:13" ht="15">
      <c r="B661" s="394"/>
      <c r="C661" s="157"/>
      <c r="D661" s="157"/>
      <c r="E661" s="157"/>
      <c r="F661" s="157"/>
      <c r="G661" s="157"/>
      <c r="H661" s="157"/>
      <c r="I661" s="157"/>
      <c r="J661" s="157"/>
      <c r="K661" s="157"/>
      <c r="L661" s="157"/>
      <c r="M661" s="157"/>
    </row>
    <row r="662" spans="2:13" ht="15">
      <c r="B662" s="394"/>
      <c r="C662" s="157"/>
      <c r="D662" s="157"/>
      <c r="E662" s="157"/>
      <c r="F662" s="157"/>
      <c r="G662" s="157"/>
      <c r="H662" s="157"/>
      <c r="I662" s="157"/>
      <c r="J662" s="157"/>
      <c r="K662" s="157"/>
      <c r="L662" s="157"/>
      <c r="M662" s="157"/>
    </row>
    <row r="663" spans="2:13" ht="15">
      <c r="B663" s="394"/>
      <c r="C663" s="157"/>
      <c r="D663" s="157"/>
      <c r="E663" s="157"/>
      <c r="F663" s="157"/>
      <c r="G663" s="157"/>
      <c r="H663" s="157"/>
      <c r="I663" s="157"/>
      <c r="J663" s="157"/>
      <c r="K663" s="157"/>
      <c r="L663" s="157"/>
      <c r="M663" s="157"/>
    </row>
    <row r="664" spans="2:13" ht="15">
      <c r="B664" s="394"/>
      <c r="C664" s="157"/>
      <c r="D664" s="157"/>
      <c r="E664" s="157"/>
      <c r="F664" s="157"/>
      <c r="G664" s="157"/>
      <c r="H664" s="157"/>
      <c r="I664" s="157"/>
      <c r="J664" s="157"/>
      <c r="K664" s="157"/>
      <c r="L664" s="157"/>
      <c r="M664" s="157"/>
    </row>
    <row r="665" spans="2:13" ht="15">
      <c r="B665" s="394"/>
      <c r="C665" s="157"/>
      <c r="D665" s="157"/>
      <c r="E665" s="157"/>
      <c r="F665" s="157"/>
      <c r="G665" s="157"/>
      <c r="H665" s="157"/>
      <c r="I665" s="157"/>
      <c r="J665" s="157"/>
      <c r="K665" s="157"/>
      <c r="L665" s="157"/>
      <c r="M665" s="157"/>
    </row>
    <row r="666" spans="2:13" ht="15">
      <c r="B666" s="394"/>
      <c r="C666" s="157"/>
      <c r="D666" s="157"/>
      <c r="E666" s="157"/>
      <c r="F666" s="157"/>
      <c r="G666" s="157"/>
      <c r="H666" s="157"/>
      <c r="I666" s="157"/>
      <c r="J666" s="157"/>
      <c r="K666" s="157"/>
      <c r="L666" s="157"/>
      <c r="M666" s="157"/>
    </row>
    <row r="667" spans="2:13" ht="15">
      <c r="B667" s="394"/>
      <c r="C667" s="157"/>
      <c r="D667" s="157"/>
      <c r="E667" s="157"/>
      <c r="F667" s="157"/>
      <c r="G667" s="157"/>
      <c r="H667" s="157"/>
      <c r="I667" s="157"/>
      <c r="J667" s="157"/>
      <c r="K667" s="157"/>
      <c r="L667" s="157"/>
      <c r="M667" s="157"/>
    </row>
    <row r="668" spans="2:13" ht="15">
      <c r="B668" s="394"/>
      <c r="C668" s="157"/>
      <c r="D668" s="157"/>
      <c r="E668" s="157"/>
      <c r="F668" s="157"/>
      <c r="G668" s="157"/>
      <c r="H668" s="157"/>
      <c r="I668" s="157"/>
      <c r="J668" s="157"/>
      <c r="K668" s="157"/>
      <c r="L668" s="157"/>
      <c r="M668" s="157"/>
    </row>
    <row r="669" spans="2:13" ht="15">
      <c r="B669" s="394"/>
      <c r="C669" s="157"/>
      <c r="D669" s="157"/>
      <c r="E669" s="157"/>
      <c r="F669" s="157"/>
      <c r="G669" s="157"/>
      <c r="H669" s="157"/>
      <c r="I669" s="157"/>
      <c r="J669" s="157"/>
      <c r="K669" s="157"/>
      <c r="L669" s="157"/>
      <c r="M669" s="157"/>
    </row>
    <row r="670" spans="2:13" ht="15">
      <c r="B670" s="394"/>
      <c r="C670" s="157"/>
      <c r="D670" s="157"/>
      <c r="E670" s="157"/>
      <c r="F670" s="157"/>
      <c r="G670" s="157"/>
      <c r="H670" s="157"/>
      <c r="I670" s="157"/>
      <c r="J670" s="157"/>
      <c r="K670" s="157"/>
      <c r="L670" s="157"/>
      <c r="M670" s="157"/>
    </row>
    <row r="671" spans="2:13" ht="15">
      <c r="B671" s="394"/>
      <c r="C671" s="157"/>
      <c r="D671" s="157"/>
      <c r="E671" s="157"/>
      <c r="F671" s="157"/>
      <c r="G671" s="157"/>
      <c r="H671" s="157"/>
      <c r="I671" s="157"/>
      <c r="J671" s="157"/>
      <c r="K671" s="157"/>
      <c r="L671" s="157"/>
      <c r="M671" s="157"/>
    </row>
    <row r="672" spans="2:13" ht="15">
      <c r="B672" s="394"/>
      <c r="C672" s="157"/>
      <c r="D672" s="157"/>
      <c r="E672" s="157"/>
      <c r="F672" s="157"/>
      <c r="G672" s="157"/>
      <c r="H672" s="157"/>
      <c r="I672" s="157"/>
      <c r="J672" s="157"/>
      <c r="K672" s="157"/>
      <c r="L672" s="157"/>
      <c r="M672" s="157"/>
    </row>
    <row r="673" spans="2:13" ht="15">
      <c r="B673" s="394"/>
      <c r="C673" s="157"/>
      <c r="D673" s="157"/>
      <c r="E673" s="157"/>
      <c r="F673" s="157"/>
      <c r="G673" s="157"/>
      <c r="H673" s="157"/>
      <c r="I673" s="157"/>
      <c r="J673" s="157"/>
      <c r="K673" s="157"/>
      <c r="L673" s="157"/>
      <c r="M673" s="157"/>
    </row>
    <row r="674" spans="2:13" ht="15">
      <c r="B674" s="394"/>
      <c r="C674" s="157"/>
      <c r="D674" s="157"/>
      <c r="E674" s="157"/>
      <c r="F674" s="157"/>
      <c r="G674" s="157"/>
      <c r="H674" s="157"/>
      <c r="I674" s="157"/>
      <c r="J674" s="157"/>
      <c r="K674" s="157"/>
      <c r="L674" s="157"/>
      <c r="M674" s="157"/>
    </row>
    <row r="675" spans="2:13" ht="15">
      <c r="B675" s="394"/>
      <c r="C675" s="157"/>
      <c r="D675" s="157"/>
      <c r="E675" s="157"/>
      <c r="F675" s="157"/>
      <c r="G675" s="157"/>
      <c r="H675" s="157"/>
      <c r="I675" s="157"/>
      <c r="J675" s="157"/>
      <c r="K675" s="157"/>
      <c r="L675" s="157"/>
      <c r="M675" s="157"/>
    </row>
    <row r="676" spans="2:13" ht="15">
      <c r="B676" s="394"/>
      <c r="C676" s="157"/>
      <c r="D676" s="157"/>
      <c r="E676" s="157"/>
      <c r="F676" s="157"/>
      <c r="G676" s="157"/>
      <c r="H676" s="157"/>
      <c r="I676" s="157"/>
      <c r="J676" s="157"/>
      <c r="K676" s="157"/>
      <c r="L676" s="157"/>
      <c r="M676" s="157"/>
    </row>
    <row r="677" spans="2:13" ht="15">
      <c r="B677" s="394"/>
      <c r="C677" s="157"/>
      <c r="D677" s="157"/>
      <c r="E677" s="157"/>
      <c r="F677" s="157"/>
      <c r="G677" s="157"/>
      <c r="H677" s="157"/>
      <c r="I677" s="157"/>
      <c r="J677" s="157"/>
      <c r="K677" s="157"/>
      <c r="L677" s="157"/>
      <c r="M677" s="157"/>
    </row>
    <row r="678" spans="2:13" ht="15">
      <c r="B678" s="394"/>
      <c r="C678" s="157"/>
      <c r="D678" s="157"/>
      <c r="E678" s="157"/>
      <c r="F678" s="157"/>
      <c r="G678" s="157"/>
      <c r="H678" s="157"/>
      <c r="I678" s="157"/>
      <c r="J678" s="157"/>
      <c r="K678" s="157"/>
      <c r="L678" s="157"/>
      <c r="M678" s="157"/>
    </row>
    <row r="679" spans="2:13" ht="15">
      <c r="B679" s="394"/>
      <c r="C679" s="157"/>
      <c r="D679" s="157"/>
      <c r="E679" s="157"/>
      <c r="F679" s="157"/>
      <c r="G679" s="157"/>
      <c r="H679" s="157"/>
      <c r="I679" s="157"/>
      <c r="J679" s="157"/>
      <c r="K679" s="157"/>
      <c r="L679" s="157"/>
      <c r="M679" s="157"/>
    </row>
    <row r="680" spans="2:13" ht="15">
      <c r="B680" s="394"/>
      <c r="C680" s="157"/>
      <c r="D680" s="157"/>
      <c r="E680" s="157"/>
      <c r="F680" s="157"/>
      <c r="G680" s="157"/>
      <c r="H680" s="157"/>
      <c r="I680" s="157"/>
      <c r="J680" s="157"/>
      <c r="K680" s="157"/>
      <c r="L680" s="157"/>
      <c r="M680" s="157"/>
    </row>
    <row r="681" spans="2:13" ht="15">
      <c r="B681" s="394"/>
      <c r="C681" s="157"/>
      <c r="D681" s="157"/>
      <c r="E681" s="157"/>
      <c r="F681" s="157"/>
      <c r="G681" s="157"/>
      <c r="H681" s="157"/>
      <c r="I681" s="157"/>
      <c r="J681" s="157"/>
      <c r="K681" s="157"/>
      <c r="L681" s="157"/>
      <c r="M681" s="157"/>
    </row>
    <row r="682" spans="2:13" ht="15">
      <c r="B682" s="394"/>
      <c r="C682" s="157"/>
      <c r="D682" s="157"/>
      <c r="E682" s="157"/>
      <c r="F682" s="157"/>
      <c r="G682" s="157"/>
      <c r="H682" s="157"/>
      <c r="I682" s="157"/>
      <c r="J682" s="157"/>
      <c r="K682" s="157"/>
      <c r="L682" s="157"/>
      <c r="M682" s="157"/>
    </row>
    <row r="683" spans="2:13" ht="15">
      <c r="B683" s="394"/>
      <c r="C683" s="157"/>
      <c r="D683" s="157"/>
      <c r="E683" s="157"/>
      <c r="F683" s="157"/>
      <c r="G683" s="157"/>
      <c r="H683" s="157"/>
      <c r="I683" s="157"/>
      <c r="J683" s="157"/>
      <c r="K683" s="157"/>
      <c r="L683" s="157"/>
      <c r="M683" s="157"/>
    </row>
    <row r="684" spans="2:13" ht="15">
      <c r="B684" s="394"/>
      <c r="C684" s="157"/>
      <c r="D684" s="157"/>
      <c r="E684" s="157"/>
      <c r="F684" s="157"/>
      <c r="G684" s="157"/>
      <c r="H684" s="157"/>
      <c r="I684" s="157"/>
      <c r="J684" s="157"/>
      <c r="K684" s="157"/>
      <c r="L684" s="157"/>
      <c r="M684" s="157"/>
    </row>
    <row r="685" spans="2:13" ht="15">
      <c r="B685" s="394"/>
      <c r="C685" s="157"/>
      <c r="D685" s="157"/>
      <c r="E685" s="157"/>
      <c r="F685" s="157"/>
      <c r="G685" s="157"/>
      <c r="H685" s="157"/>
      <c r="I685" s="157"/>
      <c r="J685" s="157"/>
      <c r="K685" s="157"/>
      <c r="L685" s="157"/>
      <c r="M685" s="157"/>
    </row>
    <row r="686" spans="2:13" ht="15">
      <c r="B686" s="394"/>
      <c r="C686" s="157"/>
      <c r="D686" s="157"/>
      <c r="E686" s="157"/>
      <c r="F686" s="157"/>
      <c r="G686" s="157"/>
      <c r="H686" s="157"/>
      <c r="I686" s="157"/>
      <c r="J686" s="157"/>
      <c r="K686" s="157"/>
      <c r="L686" s="157"/>
      <c r="M686" s="157"/>
    </row>
    <row r="687" spans="2:13" ht="15">
      <c r="B687" s="394"/>
      <c r="C687" s="157"/>
      <c r="D687" s="157"/>
      <c r="E687" s="157"/>
      <c r="F687" s="157"/>
      <c r="G687" s="157"/>
      <c r="H687" s="157"/>
      <c r="I687" s="157"/>
      <c r="J687" s="157"/>
      <c r="K687" s="157"/>
      <c r="L687" s="157"/>
      <c r="M687" s="157"/>
    </row>
    <row r="688" spans="2:13" ht="15">
      <c r="B688" s="394"/>
      <c r="C688" s="157"/>
      <c r="D688" s="157"/>
      <c r="E688" s="157"/>
      <c r="F688" s="157"/>
      <c r="G688" s="157"/>
      <c r="H688" s="157"/>
      <c r="I688" s="157"/>
      <c r="J688" s="157"/>
      <c r="K688" s="157"/>
      <c r="L688" s="157"/>
      <c r="M688" s="157"/>
    </row>
    <row r="689" spans="2:13" ht="15">
      <c r="B689" s="394"/>
      <c r="C689" s="157"/>
      <c r="D689" s="157"/>
      <c r="E689" s="157"/>
      <c r="F689" s="157"/>
      <c r="G689" s="157"/>
      <c r="H689" s="157"/>
      <c r="I689" s="157"/>
      <c r="J689" s="157"/>
      <c r="K689" s="157"/>
      <c r="L689" s="157"/>
      <c r="M689" s="157"/>
    </row>
    <row r="690" spans="2:13" ht="15">
      <c r="B690" s="394"/>
      <c r="C690" s="157"/>
      <c r="D690" s="157"/>
      <c r="E690" s="157"/>
      <c r="F690" s="157"/>
      <c r="G690" s="157"/>
      <c r="H690" s="157"/>
      <c r="I690" s="157"/>
      <c r="J690" s="157"/>
      <c r="K690" s="157"/>
      <c r="L690" s="157"/>
      <c r="M690" s="157"/>
    </row>
    <row r="691" spans="2:13" ht="15">
      <c r="B691" s="394"/>
      <c r="C691" s="157"/>
      <c r="D691" s="157"/>
      <c r="E691" s="157"/>
      <c r="F691" s="157"/>
      <c r="G691" s="157"/>
      <c r="H691" s="157"/>
      <c r="I691" s="157"/>
      <c r="J691" s="157"/>
      <c r="K691" s="157"/>
      <c r="L691" s="157"/>
      <c r="M691" s="157"/>
    </row>
    <row r="692" spans="2:13" ht="15">
      <c r="B692" s="394"/>
      <c r="C692" s="157"/>
      <c r="D692" s="157"/>
      <c r="E692" s="157"/>
      <c r="F692" s="157"/>
      <c r="G692" s="157"/>
      <c r="H692" s="157"/>
      <c r="I692" s="157"/>
      <c r="J692" s="157"/>
      <c r="K692" s="157"/>
      <c r="L692" s="157"/>
      <c r="M692" s="157"/>
    </row>
    <row r="693" spans="2:13" ht="15">
      <c r="B693" s="394"/>
      <c r="C693" s="157"/>
      <c r="D693" s="157"/>
      <c r="E693" s="157"/>
      <c r="F693" s="157"/>
      <c r="G693" s="157"/>
      <c r="H693" s="157"/>
      <c r="I693" s="157"/>
      <c r="J693" s="157"/>
      <c r="K693" s="157"/>
      <c r="L693" s="157"/>
      <c r="M693" s="157"/>
    </row>
    <row r="694" spans="2:13" ht="15">
      <c r="B694" s="394"/>
      <c r="C694" s="157"/>
      <c r="D694" s="157"/>
      <c r="E694" s="157"/>
      <c r="F694" s="157"/>
      <c r="G694" s="157"/>
      <c r="H694" s="157"/>
      <c r="I694" s="157"/>
      <c r="J694" s="157"/>
      <c r="K694" s="157"/>
      <c r="L694" s="157"/>
      <c r="M694" s="157"/>
    </row>
    <row r="695" spans="2:13" ht="15">
      <c r="B695" s="394"/>
      <c r="C695" s="157"/>
      <c r="D695" s="157"/>
      <c r="E695" s="157"/>
      <c r="F695" s="157"/>
      <c r="G695" s="157"/>
      <c r="H695" s="157"/>
      <c r="I695" s="157"/>
      <c r="J695" s="157"/>
      <c r="K695" s="157"/>
      <c r="L695" s="157"/>
      <c r="M695" s="157"/>
    </row>
    <row r="696" spans="2:13" ht="15">
      <c r="B696" s="394"/>
      <c r="C696" s="157"/>
      <c r="D696" s="157"/>
      <c r="E696" s="157"/>
      <c r="F696" s="157"/>
      <c r="G696" s="157"/>
      <c r="H696" s="157"/>
      <c r="I696" s="157"/>
      <c r="J696" s="157"/>
      <c r="K696" s="157"/>
      <c r="L696" s="157"/>
      <c r="M696" s="157"/>
    </row>
    <row r="697" spans="2:13" ht="15">
      <c r="B697" s="394"/>
      <c r="C697" s="157"/>
      <c r="D697" s="157"/>
      <c r="E697" s="157"/>
      <c r="F697" s="157"/>
      <c r="G697" s="157"/>
      <c r="H697" s="157"/>
      <c r="I697" s="157"/>
      <c r="J697" s="157"/>
      <c r="K697" s="157"/>
      <c r="L697" s="157"/>
      <c r="M697" s="157"/>
    </row>
    <row r="698" spans="2:13" ht="15">
      <c r="B698" s="394"/>
      <c r="C698" s="157"/>
      <c r="D698" s="157"/>
      <c r="E698" s="157"/>
      <c r="F698" s="157"/>
      <c r="G698" s="157"/>
      <c r="H698" s="157"/>
      <c r="I698" s="157"/>
      <c r="J698" s="157"/>
      <c r="K698" s="157"/>
      <c r="L698" s="157"/>
      <c r="M698" s="157"/>
    </row>
    <row r="699" spans="2:13" ht="15">
      <c r="B699" s="394"/>
      <c r="C699" s="157"/>
      <c r="D699" s="157"/>
      <c r="E699" s="157"/>
      <c r="F699" s="157"/>
      <c r="G699" s="157"/>
      <c r="H699" s="157"/>
      <c r="I699" s="157"/>
      <c r="J699" s="157"/>
      <c r="K699" s="157"/>
      <c r="L699" s="157"/>
      <c r="M699" s="157"/>
    </row>
    <row r="700" spans="2:13" ht="15">
      <c r="B700" s="394"/>
      <c r="C700" s="157"/>
      <c r="D700" s="157"/>
      <c r="E700" s="157"/>
      <c r="F700" s="157"/>
      <c r="G700" s="157"/>
      <c r="H700" s="157"/>
      <c r="I700" s="157"/>
      <c r="J700" s="157"/>
      <c r="K700" s="157"/>
      <c r="L700" s="157"/>
      <c r="M700" s="157"/>
    </row>
    <row r="701" spans="2:13" ht="15">
      <c r="B701" s="394"/>
      <c r="C701" s="157"/>
      <c r="D701" s="157"/>
      <c r="E701" s="157"/>
      <c r="F701" s="157"/>
      <c r="G701" s="157"/>
      <c r="H701" s="157"/>
      <c r="I701" s="157"/>
      <c r="J701" s="157"/>
      <c r="K701" s="157"/>
      <c r="L701" s="157"/>
      <c r="M701" s="157"/>
    </row>
    <row r="702" spans="2:13" ht="15">
      <c r="B702" s="394"/>
      <c r="C702" s="157"/>
      <c r="D702" s="157"/>
      <c r="E702" s="157"/>
      <c r="F702" s="157"/>
      <c r="G702" s="157"/>
      <c r="H702" s="157"/>
      <c r="I702" s="157"/>
      <c r="J702" s="157"/>
      <c r="K702" s="157"/>
      <c r="L702" s="157"/>
      <c r="M702" s="157"/>
    </row>
    <row r="703" spans="2:13" ht="15">
      <c r="B703" s="394"/>
      <c r="C703" s="157"/>
      <c r="D703" s="157"/>
      <c r="E703" s="157"/>
      <c r="F703" s="157"/>
      <c r="G703" s="157"/>
      <c r="H703" s="157"/>
      <c r="I703" s="157"/>
      <c r="J703" s="157"/>
      <c r="K703" s="157"/>
      <c r="L703" s="157"/>
      <c r="M703" s="157"/>
    </row>
    <row r="704" spans="2:13" ht="15">
      <c r="B704" s="394"/>
      <c r="C704" s="157"/>
      <c r="D704" s="157"/>
      <c r="E704" s="157"/>
      <c r="F704" s="157"/>
      <c r="G704" s="157"/>
      <c r="H704" s="157"/>
      <c r="I704" s="157"/>
      <c r="J704" s="157"/>
      <c r="K704" s="157"/>
      <c r="L704" s="157"/>
      <c r="M704" s="157"/>
    </row>
    <row r="705" spans="2:13" ht="15">
      <c r="B705" s="394"/>
      <c r="C705" s="157"/>
      <c r="D705" s="157"/>
      <c r="E705" s="157"/>
      <c r="F705" s="157"/>
      <c r="G705" s="157"/>
      <c r="H705" s="157"/>
      <c r="I705" s="157"/>
      <c r="J705" s="157"/>
      <c r="K705" s="157"/>
      <c r="L705" s="157"/>
      <c r="M705" s="157"/>
    </row>
    <row r="706" spans="2:13" ht="15">
      <c r="B706" s="394"/>
      <c r="C706" s="157"/>
      <c r="D706" s="157"/>
      <c r="E706" s="157"/>
      <c r="F706" s="157"/>
      <c r="G706" s="157"/>
      <c r="H706" s="157"/>
      <c r="I706" s="157"/>
      <c r="J706" s="157"/>
      <c r="K706" s="157"/>
      <c r="L706" s="157"/>
      <c r="M706" s="157"/>
    </row>
    <row r="707" spans="2:13" ht="15">
      <c r="B707" s="394"/>
      <c r="C707" s="157"/>
      <c r="D707" s="157"/>
      <c r="E707" s="157"/>
      <c r="F707" s="157"/>
      <c r="G707" s="157"/>
      <c r="H707" s="157"/>
      <c r="I707" s="157"/>
      <c r="J707" s="157"/>
      <c r="K707" s="157"/>
      <c r="L707" s="157"/>
      <c r="M707" s="157"/>
    </row>
    <row r="708" spans="2:13" ht="15">
      <c r="B708" s="394"/>
      <c r="C708" s="157"/>
      <c r="D708" s="157"/>
      <c r="E708" s="157"/>
      <c r="F708" s="157"/>
      <c r="G708" s="157"/>
      <c r="H708" s="157"/>
      <c r="I708" s="157"/>
      <c r="J708" s="157"/>
      <c r="K708" s="157"/>
      <c r="L708" s="157"/>
      <c r="M708" s="157"/>
    </row>
    <row r="709" spans="2:13" ht="15">
      <c r="B709" s="394"/>
      <c r="C709" s="157"/>
      <c r="D709" s="157"/>
      <c r="E709" s="157"/>
      <c r="F709" s="157"/>
      <c r="G709" s="157"/>
      <c r="H709" s="157"/>
      <c r="I709" s="157"/>
      <c r="J709" s="157"/>
      <c r="K709" s="157"/>
      <c r="L709" s="157"/>
      <c r="M709" s="157"/>
    </row>
    <row r="710" spans="2:13" ht="15">
      <c r="B710" s="394"/>
      <c r="C710" s="157"/>
      <c r="D710" s="157"/>
      <c r="E710" s="157"/>
      <c r="F710" s="157"/>
      <c r="G710" s="157"/>
      <c r="H710" s="157"/>
      <c r="I710" s="157"/>
      <c r="J710" s="157"/>
      <c r="K710" s="157"/>
      <c r="L710" s="157"/>
      <c r="M710" s="157"/>
    </row>
    <row r="711" spans="2:13" ht="15">
      <c r="B711" s="394"/>
      <c r="C711" s="157"/>
      <c r="D711" s="157"/>
      <c r="E711" s="157"/>
      <c r="F711" s="157"/>
      <c r="G711" s="157"/>
      <c r="H711" s="157"/>
      <c r="I711" s="157"/>
      <c r="J711" s="157"/>
      <c r="K711" s="157"/>
      <c r="L711" s="157"/>
      <c r="M711" s="157"/>
    </row>
    <row r="712" spans="2:13" ht="15">
      <c r="B712" s="394"/>
      <c r="C712" s="157"/>
      <c r="D712" s="157"/>
      <c r="E712" s="157"/>
      <c r="F712" s="157"/>
      <c r="G712" s="157"/>
      <c r="H712" s="157"/>
      <c r="I712" s="157"/>
      <c r="J712" s="157"/>
      <c r="K712" s="157"/>
      <c r="L712" s="157"/>
      <c r="M712" s="157"/>
    </row>
    <row r="713" spans="2:13" ht="15">
      <c r="B713" s="394"/>
      <c r="C713" s="157"/>
      <c r="D713" s="157"/>
      <c r="E713" s="157"/>
      <c r="F713" s="157"/>
      <c r="G713" s="157"/>
      <c r="H713" s="157"/>
      <c r="I713" s="157"/>
      <c r="J713" s="157"/>
      <c r="K713" s="157"/>
      <c r="L713" s="157"/>
      <c r="M713" s="157"/>
    </row>
    <row r="714" spans="2:13" ht="15">
      <c r="B714" s="394"/>
      <c r="C714" s="157"/>
      <c r="D714" s="157"/>
      <c r="E714" s="157"/>
      <c r="F714" s="157"/>
      <c r="G714" s="157"/>
      <c r="H714" s="157"/>
      <c r="I714" s="157"/>
      <c r="J714" s="157"/>
      <c r="K714" s="157"/>
      <c r="L714" s="157"/>
      <c r="M714" s="157"/>
    </row>
    <row r="715" spans="2:13" ht="15">
      <c r="B715" s="394"/>
      <c r="C715" s="157"/>
      <c r="D715" s="157"/>
      <c r="E715" s="157"/>
      <c r="F715" s="157"/>
      <c r="G715" s="157"/>
      <c r="H715" s="157"/>
      <c r="I715" s="157"/>
      <c r="J715" s="157"/>
      <c r="K715" s="157"/>
      <c r="L715" s="157"/>
      <c r="M715" s="157"/>
    </row>
    <row r="716" spans="2:13" ht="15">
      <c r="B716" s="394"/>
      <c r="C716" s="157"/>
      <c r="D716" s="157"/>
      <c r="E716" s="157"/>
      <c r="F716" s="157"/>
      <c r="G716" s="157"/>
      <c r="H716" s="157"/>
      <c r="I716" s="157"/>
      <c r="J716" s="157"/>
      <c r="K716" s="157"/>
      <c r="L716" s="157"/>
      <c r="M716" s="157"/>
    </row>
    <row r="717" spans="2:13" ht="15">
      <c r="B717" s="394"/>
      <c r="C717" s="157"/>
      <c r="D717" s="157"/>
      <c r="E717" s="157"/>
      <c r="F717" s="157"/>
      <c r="G717" s="157"/>
      <c r="H717" s="157"/>
      <c r="I717" s="157"/>
      <c r="J717" s="157"/>
      <c r="K717" s="157"/>
      <c r="L717" s="157"/>
      <c r="M717" s="157"/>
    </row>
    <row r="718" spans="2:13" ht="15">
      <c r="B718" s="394"/>
      <c r="C718" s="157"/>
      <c r="D718" s="157"/>
      <c r="E718" s="157"/>
      <c r="F718" s="157"/>
      <c r="G718" s="157"/>
      <c r="H718" s="157"/>
      <c r="I718" s="157"/>
      <c r="J718" s="157"/>
      <c r="K718" s="157"/>
      <c r="L718" s="157"/>
      <c r="M718" s="157"/>
    </row>
    <row r="719" spans="2:13" ht="15">
      <c r="B719" s="394"/>
      <c r="C719" s="157"/>
      <c r="D719" s="157"/>
      <c r="E719" s="157"/>
      <c r="F719" s="157"/>
      <c r="G719" s="157"/>
      <c r="H719" s="157"/>
      <c r="I719" s="157"/>
      <c r="J719" s="157"/>
      <c r="K719" s="157"/>
      <c r="L719" s="157"/>
      <c r="M719" s="157"/>
    </row>
    <row r="720" spans="2:13" ht="15">
      <c r="B720" s="394"/>
      <c r="C720" s="157"/>
      <c r="D720" s="157"/>
      <c r="E720" s="157"/>
      <c r="F720" s="157"/>
      <c r="G720" s="157"/>
      <c r="H720" s="157"/>
      <c r="I720" s="157"/>
      <c r="J720" s="157"/>
      <c r="K720" s="157"/>
      <c r="L720" s="157"/>
      <c r="M720" s="157"/>
    </row>
    <row r="721" spans="2:13" ht="15">
      <c r="B721" s="394"/>
      <c r="C721" s="157"/>
      <c r="D721" s="157"/>
      <c r="E721" s="157"/>
      <c r="F721" s="157"/>
      <c r="G721" s="157"/>
      <c r="H721" s="157"/>
      <c r="I721" s="157"/>
      <c r="J721" s="157"/>
      <c r="K721" s="157"/>
      <c r="L721" s="157"/>
      <c r="M721" s="157"/>
    </row>
    <row r="722" spans="2:13" ht="15">
      <c r="B722" s="394"/>
      <c r="C722" s="157"/>
      <c r="D722" s="157"/>
      <c r="E722" s="157"/>
      <c r="F722" s="157"/>
      <c r="G722" s="157"/>
      <c r="H722" s="157"/>
      <c r="I722" s="157"/>
      <c r="J722" s="157"/>
      <c r="K722" s="157"/>
      <c r="L722" s="157"/>
      <c r="M722" s="157"/>
    </row>
    <row r="723" spans="2:13" ht="15">
      <c r="B723" s="394"/>
      <c r="C723" s="157"/>
      <c r="D723" s="157"/>
      <c r="E723" s="157"/>
      <c r="F723" s="157"/>
      <c r="G723" s="157"/>
      <c r="H723" s="157"/>
      <c r="I723" s="157"/>
      <c r="J723" s="157"/>
      <c r="K723" s="157"/>
      <c r="L723" s="157"/>
      <c r="M723" s="157"/>
    </row>
    <row r="724" spans="2:13" ht="15">
      <c r="B724" s="394"/>
      <c r="C724" s="157"/>
      <c r="D724" s="157"/>
      <c r="E724" s="157"/>
      <c r="F724" s="157"/>
      <c r="G724" s="157"/>
      <c r="H724" s="157"/>
      <c r="I724" s="157"/>
      <c r="J724" s="157"/>
      <c r="K724" s="157"/>
      <c r="L724" s="157"/>
      <c r="M724" s="157"/>
    </row>
    <row r="725" spans="2:13" ht="15">
      <c r="B725" s="394"/>
      <c r="C725" s="157"/>
      <c r="D725" s="157"/>
      <c r="E725" s="157"/>
      <c r="F725" s="157"/>
      <c r="G725" s="157"/>
      <c r="H725" s="157"/>
      <c r="I725" s="157"/>
      <c r="J725" s="157"/>
      <c r="K725" s="157"/>
      <c r="L725" s="157"/>
      <c r="M725" s="157"/>
    </row>
    <row r="726" spans="2:13" ht="15">
      <c r="B726" s="394"/>
      <c r="C726" s="157"/>
      <c r="D726" s="157"/>
      <c r="E726" s="157"/>
      <c r="F726" s="157"/>
      <c r="G726" s="157"/>
      <c r="H726" s="157"/>
      <c r="I726" s="157"/>
      <c r="J726" s="157"/>
      <c r="K726" s="157"/>
      <c r="L726" s="157"/>
      <c r="M726" s="157"/>
    </row>
    <row r="727" spans="2:13" ht="15">
      <c r="B727" s="394"/>
      <c r="C727" s="157"/>
      <c r="D727" s="157"/>
      <c r="E727" s="157"/>
      <c r="F727" s="157"/>
      <c r="G727" s="157"/>
      <c r="H727" s="157"/>
      <c r="I727" s="157"/>
      <c r="J727" s="157"/>
      <c r="K727" s="157"/>
      <c r="L727" s="157"/>
      <c r="M727" s="157"/>
    </row>
    <row r="728" spans="2:13" ht="15">
      <c r="B728" s="394"/>
      <c r="C728" s="157"/>
      <c r="D728" s="157"/>
      <c r="E728" s="157"/>
      <c r="F728" s="157"/>
      <c r="G728" s="157"/>
      <c r="H728" s="157"/>
      <c r="I728" s="157"/>
      <c r="J728" s="157"/>
      <c r="K728" s="157"/>
      <c r="L728" s="157"/>
      <c r="M728" s="157"/>
    </row>
    <row r="729" spans="2:13" ht="15">
      <c r="B729" s="394"/>
      <c r="C729" s="157"/>
      <c r="D729" s="157"/>
      <c r="E729" s="157"/>
      <c r="F729" s="157"/>
      <c r="G729" s="157"/>
      <c r="H729" s="157"/>
      <c r="I729" s="157"/>
      <c r="J729" s="157"/>
      <c r="K729" s="157"/>
      <c r="L729" s="157"/>
      <c r="M729" s="157"/>
    </row>
    <row r="730" spans="2:13" ht="15">
      <c r="B730" s="394"/>
      <c r="C730" s="157"/>
      <c r="D730" s="157"/>
      <c r="E730" s="157"/>
      <c r="F730" s="157"/>
      <c r="G730" s="157"/>
      <c r="H730" s="157"/>
      <c r="I730" s="157"/>
      <c r="J730" s="157"/>
      <c r="K730" s="157"/>
      <c r="L730" s="157"/>
      <c r="M730" s="157"/>
    </row>
    <row r="731" spans="2:13" ht="15">
      <c r="B731" s="394"/>
      <c r="C731" s="157"/>
      <c r="D731" s="157"/>
      <c r="E731" s="157"/>
      <c r="F731" s="157"/>
      <c r="G731" s="157"/>
      <c r="H731" s="157"/>
      <c r="I731" s="157"/>
      <c r="J731" s="157"/>
      <c r="K731" s="157"/>
      <c r="L731" s="157"/>
      <c r="M731" s="157"/>
    </row>
    <row r="732" spans="2:13" ht="15">
      <c r="B732" s="394"/>
      <c r="C732" s="157"/>
      <c r="D732" s="157"/>
      <c r="E732" s="157"/>
      <c r="F732" s="157"/>
      <c r="G732" s="157"/>
      <c r="H732" s="157"/>
      <c r="I732" s="157"/>
      <c r="J732" s="157"/>
      <c r="K732" s="157"/>
      <c r="L732" s="157"/>
      <c r="M732" s="157"/>
    </row>
    <row r="733" spans="2:13" ht="15">
      <c r="B733" s="394"/>
      <c r="C733" s="157"/>
      <c r="D733" s="157"/>
      <c r="E733" s="157"/>
      <c r="F733" s="157"/>
      <c r="G733" s="157"/>
      <c r="H733" s="157"/>
      <c r="I733" s="157"/>
      <c r="J733" s="157"/>
      <c r="K733" s="157"/>
      <c r="L733" s="157"/>
      <c r="M733" s="157"/>
    </row>
    <row r="734" spans="2:13" ht="15">
      <c r="B734" s="394"/>
      <c r="C734" s="157"/>
      <c r="D734" s="157"/>
      <c r="E734" s="157"/>
      <c r="F734" s="157"/>
      <c r="G734" s="157"/>
      <c r="H734" s="157"/>
      <c r="I734" s="157"/>
      <c r="J734" s="157"/>
      <c r="K734" s="157"/>
      <c r="L734" s="157"/>
      <c r="M734" s="157"/>
    </row>
    <row r="735" spans="2:13" ht="15">
      <c r="B735" s="394"/>
      <c r="C735" s="157"/>
      <c r="D735" s="157"/>
      <c r="E735" s="157"/>
      <c r="F735" s="157"/>
      <c r="G735" s="157"/>
      <c r="H735" s="157"/>
      <c r="I735" s="157"/>
      <c r="J735" s="157"/>
      <c r="K735" s="157"/>
      <c r="L735" s="157"/>
      <c r="M735" s="157"/>
    </row>
    <row r="736" spans="2:13" ht="15">
      <c r="B736" s="394"/>
      <c r="C736" s="157"/>
      <c r="D736" s="157"/>
      <c r="E736" s="157"/>
      <c r="F736" s="157"/>
      <c r="G736" s="157"/>
      <c r="H736" s="157"/>
      <c r="I736" s="157"/>
      <c r="J736" s="157"/>
      <c r="K736" s="157"/>
      <c r="L736" s="157"/>
      <c r="M736" s="157"/>
    </row>
    <row r="737" spans="2:13" ht="15">
      <c r="B737" s="394"/>
      <c r="C737" s="157"/>
      <c r="D737" s="157"/>
      <c r="E737" s="157"/>
      <c r="F737" s="157"/>
      <c r="G737" s="157"/>
      <c r="H737" s="157"/>
      <c r="I737" s="157"/>
      <c r="J737" s="157"/>
      <c r="K737" s="157"/>
      <c r="L737" s="157"/>
      <c r="M737" s="157"/>
    </row>
    <row r="738" spans="2:13" ht="15">
      <c r="B738" s="394"/>
      <c r="C738" s="157"/>
      <c r="D738" s="157"/>
      <c r="E738" s="157"/>
      <c r="F738" s="157"/>
      <c r="G738" s="157"/>
      <c r="H738" s="157"/>
      <c r="I738" s="157"/>
      <c r="J738" s="157"/>
      <c r="K738" s="157"/>
      <c r="L738" s="157"/>
      <c r="M738" s="157"/>
    </row>
    <row r="739" spans="2:13" ht="15">
      <c r="B739" s="394"/>
      <c r="C739" s="157"/>
      <c r="D739" s="157"/>
      <c r="E739" s="157"/>
      <c r="F739" s="157"/>
      <c r="G739" s="157"/>
      <c r="H739" s="157"/>
      <c r="I739" s="157"/>
      <c r="J739" s="157"/>
      <c r="K739" s="157"/>
      <c r="L739" s="157"/>
      <c r="M739" s="157"/>
    </row>
    <row r="740" spans="2:13" ht="15">
      <c r="B740" s="394"/>
      <c r="C740" s="157"/>
      <c r="D740" s="157"/>
      <c r="E740" s="157"/>
      <c r="F740" s="157"/>
      <c r="G740" s="157"/>
      <c r="H740" s="157"/>
      <c r="I740" s="157"/>
      <c r="J740" s="157"/>
      <c r="K740" s="157"/>
      <c r="L740" s="157"/>
      <c r="M740" s="157"/>
    </row>
    <row r="741" spans="2:13" ht="15">
      <c r="B741" s="394"/>
      <c r="C741" s="157"/>
      <c r="D741" s="157"/>
      <c r="E741" s="157"/>
      <c r="F741" s="157"/>
      <c r="G741" s="157"/>
      <c r="H741" s="157"/>
      <c r="I741" s="157"/>
      <c r="J741" s="157"/>
      <c r="K741" s="157"/>
      <c r="L741" s="157"/>
      <c r="M741" s="157"/>
    </row>
    <row r="742" spans="2:13" ht="15">
      <c r="B742" s="394"/>
      <c r="C742" s="157"/>
      <c r="D742" s="157"/>
      <c r="E742" s="157"/>
      <c r="F742" s="157"/>
      <c r="G742" s="157"/>
      <c r="H742" s="157"/>
      <c r="I742" s="157"/>
      <c r="J742" s="157"/>
      <c r="K742" s="157"/>
      <c r="L742" s="157"/>
      <c r="M742" s="157"/>
    </row>
    <row r="743" spans="2:13" ht="15">
      <c r="B743" s="394"/>
      <c r="C743" s="157"/>
      <c r="D743" s="157"/>
      <c r="E743" s="157"/>
      <c r="F743" s="157"/>
      <c r="G743" s="157"/>
      <c r="H743" s="157"/>
      <c r="I743" s="157"/>
      <c r="J743" s="157"/>
      <c r="K743" s="157"/>
      <c r="L743" s="157"/>
      <c r="M743" s="157"/>
    </row>
    <row r="744" spans="2:13" ht="15">
      <c r="B744" s="394"/>
      <c r="C744" s="157"/>
      <c r="D744" s="157"/>
      <c r="E744" s="157"/>
      <c r="F744" s="157"/>
      <c r="G744" s="157"/>
      <c r="H744" s="157"/>
      <c r="I744" s="157"/>
      <c r="J744" s="157"/>
      <c r="K744" s="157"/>
      <c r="L744" s="157"/>
      <c r="M744" s="157"/>
    </row>
    <row r="745" spans="2:13" ht="15">
      <c r="B745" s="394"/>
      <c r="C745" s="157"/>
      <c r="D745" s="157"/>
      <c r="E745" s="157"/>
      <c r="F745" s="157"/>
      <c r="G745" s="157"/>
      <c r="H745" s="157"/>
      <c r="I745" s="157"/>
      <c r="J745" s="157"/>
      <c r="K745" s="157"/>
      <c r="L745" s="157"/>
      <c r="M745" s="157"/>
    </row>
    <row r="746" spans="2:13" ht="15">
      <c r="B746" s="394"/>
      <c r="C746" s="157"/>
      <c r="D746" s="157"/>
      <c r="E746" s="157"/>
      <c r="F746" s="157"/>
      <c r="G746" s="157"/>
      <c r="H746" s="157"/>
      <c r="I746" s="157"/>
      <c r="J746" s="157"/>
      <c r="K746" s="157"/>
      <c r="L746" s="157"/>
      <c r="M746" s="157"/>
    </row>
    <row r="747" spans="2:13" ht="15">
      <c r="B747" s="394"/>
      <c r="C747" s="157"/>
      <c r="D747" s="157"/>
      <c r="E747" s="157"/>
      <c r="F747" s="157"/>
      <c r="G747" s="157"/>
      <c r="H747" s="157"/>
      <c r="I747" s="157"/>
      <c r="J747" s="157"/>
      <c r="K747" s="157"/>
      <c r="L747" s="157"/>
      <c r="M747" s="157"/>
    </row>
    <row r="748" spans="2:13" ht="15">
      <c r="B748" s="394"/>
      <c r="C748" s="157"/>
      <c r="D748" s="157"/>
      <c r="E748" s="157"/>
      <c r="F748" s="157"/>
      <c r="G748" s="157"/>
      <c r="H748" s="157"/>
      <c r="I748" s="157"/>
      <c r="J748" s="157"/>
      <c r="K748" s="157"/>
      <c r="L748" s="157"/>
      <c r="M748" s="157"/>
    </row>
    <row r="749" spans="2:13" ht="15">
      <c r="B749" s="394"/>
      <c r="C749" s="157"/>
      <c r="D749" s="157"/>
      <c r="E749" s="157"/>
      <c r="F749" s="157"/>
      <c r="G749" s="157"/>
      <c r="H749" s="157"/>
      <c r="I749" s="157"/>
      <c r="J749" s="157"/>
      <c r="K749" s="157"/>
      <c r="L749" s="157"/>
      <c r="M749" s="157"/>
    </row>
    <row r="750" spans="2:13" ht="15">
      <c r="B750" s="394"/>
      <c r="C750" s="157"/>
      <c r="D750" s="157"/>
      <c r="E750" s="157"/>
      <c r="F750" s="157"/>
      <c r="G750" s="157"/>
      <c r="H750" s="157"/>
      <c r="I750" s="157"/>
      <c r="J750" s="157"/>
      <c r="K750" s="157"/>
      <c r="L750" s="157"/>
      <c r="M750" s="157"/>
    </row>
    <row r="751" spans="2:13" ht="15">
      <c r="B751" s="394"/>
      <c r="C751" s="157"/>
      <c r="D751" s="157"/>
      <c r="E751" s="157"/>
      <c r="F751" s="157"/>
      <c r="G751" s="157"/>
      <c r="H751" s="157"/>
      <c r="I751" s="157"/>
      <c r="J751" s="157"/>
      <c r="K751" s="157"/>
      <c r="L751" s="157"/>
      <c r="M751" s="157"/>
    </row>
    <row r="752" spans="2:13" ht="15">
      <c r="B752" s="394"/>
      <c r="C752" s="157"/>
      <c r="D752" s="157"/>
      <c r="E752" s="157"/>
      <c r="F752" s="157"/>
      <c r="G752" s="157"/>
      <c r="H752" s="157"/>
      <c r="I752" s="157"/>
      <c r="J752" s="157"/>
      <c r="K752" s="157"/>
      <c r="L752" s="157"/>
      <c r="M752" s="157"/>
    </row>
    <row r="753" spans="2:13" ht="15">
      <c r="B753" s="394"/>
      <c r="C753" s="157"/>
      <c r="D753" s="157"/>
      <c r="E753" s="157"/>
      <c r="F753" s="157"/>
      <c r="G753" s="157"/>
      <c r="H753" s="157"/>
      <c r="I753" s="157"/>
      <c r="J753" s="157"/>
      <c r="K753" s="157"/>
      <c r="L753" s="157"/>
      <c r="M753" s="157"/>
    </row>
    <row r="754" spans="2:13" ht="15">
      <c r="B754" s="394"/>
      <c r="C754" s="157"/>
      <c r="D754" s="157"/>
      <c r="E754" s="157"/>
      <c r="F754" s="157"/>
      <c r="G754" s="157"/>
      <c r="H754" s="157"/>
      <c r="I754" s="157"/>
      <c r="J754" s="157"/>
      <c r="K754" s="157"/>
      <c r="L754" s="157"/>
      <c r="M754" s="157"/>
    </row>
    <row r="755" spans="2:13" ht="15">
      <c r="B755" s="394"/>
      <c r="C755" s="157"/>
      <c r="D755" s="157"/>
      <c r="E755" s="157"/>
      <c r="F755" s="157"/>
      <c r="G755" s="157"/>
      <c r="H755" s="157"/>
      <c r="I755" s="157"/>
      <c r="J755" s="157"/>
      <c r="K755" s="157"/>
      <c r="L755" s="157"/>
      <c r="M755" s="157"/>
    </row>
    <row r="756" spans="2:13" ht="15">
      <c r="B756" s="394"/>
      <c r="C756" s="157"/>
      <c r="D756" s="157"/>
      <c r="E756" s="157"/>
      <c r="F756" s="157"/>
      <c r="G756" s="157"/>
      <c r="H756" s="157"/>
      <c r="I756" s="157"/>
      <c r="J756" s="157"/>
      <c r="K756" s="157"/>
      <c r="L756" s="157"/>
      <c r="M756" s="157"/>
    </row>
    <row r="757" spans="2:13" ht="15">
      <c r="B757" s="394"/>
      <c r="C757" s="157"/>
      <c r="D757" s="157"/>
      <c r="E757" s="157"/>
      <c r="F757" s="157"/>
      <c r="G757" s="157"/>
      <c r="H757" s="157"/>
      <c r="I757" s="157"/>
      <c r="J757" s="157"/>
      <c r="K757" s="157"/>
      <c r="L757" s="157"/>
      <c r="M757" s="157"/>
    </row>
    <row r="758" spans="2:13" ht="15">
      <c r="B758" s="394"/>
      <c r="C758" s="157"/>
      <c r="D758" s="157"/>
      <c r="E758" s="157"/>
      <c r="F758" s="157"/>
      <c r="G758" s="157"/>
      <c r="H758" s="157"/>
      <c r="I758" s="157"/>
      <c r="J758" s="157"/>
      <c r="K758" s="157"/>
      <c r="L758" s="157"/>
      <c r="M758" s="157"/>
    </row>
    <row r="759" spans="2:13" ht="15">
      <c r="B759" s="394"/>
      <c r="C759" s="157"/>
      <c r="D759" s="157"/>
      <c r="E759" s="157"/>
      <c r="F759" s="157"/>
      <c r="G759" s="157"/>
      <c r="H759" s="157"/>
      <c r="I759" s="157"/>
      <c r="J759" s="157"/>
      <c r="K759" s="157"/>
      <c r="L759" s="157"/>
      <c r="M759" s="157"/>
    </row>
    <row r="760" spans="2:13" ht="15">
      <c r="B760" s="394"/>
      <c r="C760" s="157"/>
      <c r="D760" s="157"/>
      <c r="E760" s="157"/>
      <c r="F760" s="157"/>
      <c r="G760" s="157"/>
      <c r="H760" s="157"/>
      <c r="I760" s="157"/>
      <c r="J760" s="157"/>
      <c r="K760" s="157"/>
      <c r="L760" s="157"/>
      <c r="M760" s="157"/>
    </row>
    <row r="761" spans="2:13" ht="15">
      <c r="B761" s="394"/>
      <c r="C761" s="157"/>
      <c r="D761" s="157"/>
      <c r="E761" s="157"/>
      <c r="F761" s="157"/>
      <c r="G761" s="157"/>
      <c r="H761" s="157"/>
      <c r="I761" s="157"/>
      <c r="J761" s="157"/>
      <c r="K761" s="157"/>
      <c r="L761" s="157"/>
      <c r="M761" s="157"/>
    </row>
    <row r="762" spans="2:13" ht="15">
      <c r="B762" s="394"/>
      <c r="C762" s="157"/>
      <c r="D762" s="157"/>
      <c r="E762" s="157"/>
      <c r="F762" s="157"/>
      <c r="G762" s="157"/>
      <c r="H762" s="157"/>
      <c r="I762" s="157"/>
      <c r="J762" s="157"/>
      <c r="K762" s="157"/>
      <c r="L762" s="157"/>
      <c r="M762" s="157"/>
    </row>
    <row r="763" spans="2:13" ht="15">
      <c r="B763" s="394"/>
      <c r="C763" s="157"/>
      <c r="D763" s="157"/>
      <c r="E763" s="157"/>
      <c r="F763" s="157"/>
      <c r="G763" s="157"/>
      <c r="H763" s="157"/>
      <c r="I763" s="157"/>
      <c r="J763" s="157"/>
      <c r="K763" s="157"/>
      <c r="L763" s="157"/>
      <c r="M763" s="157"/>
    </row>
    <row r="764" spans="2:13" ht="15">
      <c r="B764" s="394"/>
      <c r="C764" s="157"/>
      <c r="D764" s="157"/>
      <c r="E764" s="157"/>
      <c r="F764" s="157"/>
      <c r="G764" s="157"/>
      <c r="H764" s="157"/>
      <c r="I764" s="157"/>
      <c r="J764" s="157"/>
      <c r="K764" s="157"/>
      <c r="L764" s="157"/>
      <c r="M764" s="157"/>
    </row>
    <row r="765" spans="2:13" ht="15">
      <c r="B765" s="394"/>
      <c r="C765" s="157"/>
      <c r="D765" s="157"/>
      <c r="E765" s="157"/>
      <c r="F765" s="157"/>
      <c r="G765" s="157"/>
      <c r="H765" s="157"/>
      <c r="I765" s="157"/>
      <c r="J765" s="157"/>
      <c r="K765" s="157"/>
      <c r="L765" s="157"/>
      <c r="M765" s="157"/>
    </row>
    <row r="766" spans="2:13" ht="15">
      <c r="B766" s="394"/>
      <c r="C766" s="157"/>
      <c r="D766" s="157"/>
      <c r="E766" s="157"/>
      <c r="F766" s="157"/>
      <c r="G766" s="157"/>
      <c r="H766" s="157"/>
      <c r="I766" s="157"/>
      <c r="J766" s="157"/>
      <c r="K766" s="157"/>
      <c r="L766" s="157"/>
      <c r="M766" s="157"/>
    </row>
    <row r="767" spans="2:13" ht="15">
      <c r="B767" s="394"/>
      <c r="C767" s="157"/>
      <c r="D767" s="157"/>
      <c r="E767" s="157"/>
      <c r="F767" s="157"/>
      <c r="G767" s="157"/>
      <c r="H767" s="157"/>
      <c r="I767" s="157"/>
      <c r="J767" s="157"/>
      <c r="K767" s="157"/>
      <c r="L767" s="157"/>
      <c r="M767" s="157"/>
    </row>
    <row r="768" spans="2:13" ht="15">
      <c r="B768" s="394"/>
      <c r="C768" s="157"/>
      <c r="D768" s="157"/>
      <c r="E768" s="157"/>
      <c r="F768" s="157"/>
      <c r="G768" s="157"/>
      <c r="H768" s="157"/>
      <c r="I768" s="157"/>
      <c r="J768" s="157"/>
      <c r="K768" s="157"/>
      <c r="L768" s="157"/>
      <c r="M768" s="157"/>
    </row>
    <row r="769" spans="2:13" ht="15">
      <c r="B769" s="394"/>
      <c r="C769" s="157"/>
      <c r="D769" s="157"/>
      <c r="E769" s="157"/>
      <c r="F769" s="157"/>
      <c r="G769" s="157"/>
      <c r="H769" s="157"/>
      <c r="I769" s="157"/>
      <c r="J769" s="157"/>
      <c r="K769" s="157"/>
      <c r="L769" s="157"/>
      <c r="M769" s="157"/>
    </row>
    <row r="770" spans="2:13" ht="15">
      <c r="B770" s="394"/>
      <c r="C770" s="157"/>
      <c r="D770" s="157"/>
      <c r="E770" s="157"/>
      <c r="F770" s="157"/>
      <c r="G770" s="157"/>
      <c r="H770" s="157"/>
      <c r="I770" s="157"/>
      <c r="J770" s="157"/>
      <c r="K770" s="157"/>
      <c r="L770" s="157"/>
      <c r="M770" s="157"/>
    </row>
    <row r="771" spans="2:13" ht="15">
      <c r="B771" s="394"/>
      <c r="C771" s="157"/>
      <c r="D771" s="157"/>
      <c r="E771" s="157"/>
      <c r="F771" s="157"/>
      <c r="G771" s="157"/>
      <c r="H771" s="157"/>
      <c r="I771" s="157"/>
      <c r="J771" s="157"/>
      <c r="K771" s="157"/>
      <c r="L771" s="157"/>
      <c r="M771" s="157"/>
    </row>
    <row r="772" spans="2:13" ht="15">
      <c r="B772" s="394"/>
      <c r="C772" s="157"/>
      <c r="D772" s="157"/>
      <c r="E772" s="157"/>
      <c r="F772" s="157"/>
      <c r="G772" s="157"/>
      <c r="H772" s="157"/>
      <c r="I772" s="157"/>
      <c r="J772" s="157"/>
      <c r="K772" s="157"/>
      <c r="L772" s="157"/>
      <c r="M772" s="157"/>
    </row>
    <row r="773" spans="2:13" ht="15">
      <c r="B773" s="394"/>
      <c r="C773" s="157"/>
      <c r="D773" s="157"/>
      <c r="E773" s="157"/>
      <c r="F773" s="157"/>
      <c r="G773" s="157"/>
      <c r="H773" s="157"/>
      <c r="I773" s="157"/>
      <c r="J773" s="157"/>
      <c r="K773" s="157"/>
      <c r="L773" s="157"/>
      <c r="M773" s="157"/>
    </row>
    <row r="774" spans="2:13" ht="15">
      <c r="B774" s="394"/>
      <c r="C774" s="157"/>
      <c r="D774" s="157"/>
      <c r="E774" s="157"/>
      <c r="F774" s="157"/>
      <c r="G774" s="157"/>
      <c r="H774" s="157"/>
      <c r="I774" s="157"/>
      <c r="J774" s="157"/>
      <c r="K774" s="157"/>
      <c r="L774" s="157"/>
      <c r="M774" s="157"/>
    </row>
    <row r="775" spans="2:13" ht="15">
      <c r="B775" s="394"/>
      <c r="C775" s="157"/>
      <c r="D775" s="157"/>
      <c r="E775" s="157"/>
      <c r="F775" s="157"/>
      <c r="G775" s="157"/>
      <c r="H775" s="157"/>
      <c r="I775" s="157"/>
      <c r="J775" s="157"/>
      <c r="K775" s="157"/>
      <c r="L775" s="157"/>
      <c r="M775" s="157"/>
    </row>
    <row r="776" spans="2:13" ht="15">
      <c r="B776" s="394"/>
      <c r="C776" s="157"/>
      <c r="D776" s="157"/>
      <c r="E776" s="157"/>
      <c r="F776" s="157"/>
      <c r="G776" s="157"/>
      <c r="H776" s="157"/>
      <c r="I776" s="157"/>
      <c r="J776" s="157"/>
      <c r="K776" s="157"/>
      <c r="L776" s="157"/>
      <c r="M776" s="157"/>
    </row>
    <row r="777" spans="2:13" ht="15">
      <c r="B777" s="394"/>
      <c r="C777" s="157"/>
      <c r="D777" s="157"/>
      <c r="E777" s="157"/>
      <c r="F777" s="157"/>
      <c r="G777" s="157"/>
      <c r="H777" s="157"/>
      <c r="I777" s="157"/>
      <c r="J777" s="157"/>
      <c r="K777" s="157"/>
      <c r="L777" s="157"/>
      <c r="M777" s="157"/>
    </row>
    <row r="778" spans="2:13" ht="15">
      <c r="B778" s="394"/>
      <c r="C778" s="157"/>
      <c r="D778" s="157"/>
      <c r="E778" s="157"/>
      <c r="F778" s="157"/>
      <c r="G778" s="157"/>
      <c r="H778" s="157"/>
      <c r="I778" s="157"/>
      <c r="J778" s="157"/>
      <c r="K778" s="157"/>
      <c r="L778" s="157"/>
      <c r="M778" s="157"/>
    </row>
    <row r="779" spans="2:13" ht="15">
      <c r="B779" s="394"/>
      <c r="C779" s="157"/>
      <c r="D779" s="157"/>
      <c r="E779" s="157"/>
      <c r="F779" s="157"/>
      <c r="G779" s="157"/>
      <c r="H779" s="157"/>
      <c r="I779" s="157"/>
      <c r="J779" s="157"/>
      <c r="K779" s="157"/>
      <c r="L779" s="157"/>
      <c r="M779" s="157"/>
    </row>
    <row r="780" spans="2:13" ht="15">
      <c r="B780" s="394"/>
      <c r="C780" s="157"/>
      <c r="D780" s="157"/>
      <c r="E780" s="157"/>
      <c r="F780" s="157"/>
      <c r="G780" s="157"/>
      <c r="H780" s="157"/>
      <c r="I780" s="157"/>
      <c r="J780" s="157"/>
      <c r="K780" s="157"/>
      <c r="L780" s="157"/>
      <c r="M780" s="157"/>
    </row>
    <row r="781" spans="2:13" ht="15">
      <c r="B781" s="394"/>
      <c r="C781" s="157"/>
      <c r="D781" s="157"/>
      <c r="E781" s="157"/>
      <c r="F781" s="157"/>
      <c r="G781" s="157"/>
      <c r="H781" s="157"/>
      <c r="I781" s="157"/>
      <c r="J781" s="157"/>
      <c r="K781" s="157"/>
      <c r="L781" s="157"/>
      <c r="M781" s="157"/>
    </row>
    <row r="782" spans="2:13" ht="15">
      <c r="B782" s="394"/>
      <c r="C782" s="157"/>
      <c r="D782" s="157"/>
      <c r="E782" s="157"/>
      <c r="F782" s="157"/>
      <c r="G782" s="157"/>
      <c r="H782" s="157"/>
      <c r="I782" s="157"/>
      <c r="J782" s="157"/>
      <c r="K782" s="157"/>
      <c r="L782" s="157"/>
      <c r="M782" s="157"/>
    </row>
    <row r="783" spans="2:13" ht="15">
      <c r="B783" s="394"/>
      <c r="C783" s="157"/>
      <c r="D783" s="157"/>
      <c r="E783" s="157"/>
      <c r="F783" s="157"/>
      <c r="G783" s="157"/>
      <c r="H783" s="157"/>
      <c r="I783" s="157"/>
      <c r="J783" s="157"/>
      <c r="K783" s="157"/>
      <c r="L783" s="157"/>
      <c r="M783" s="157"/>
    </row>
    <row r="784" spans="2:13" ht="15">
      <c r="B784" s="394"/>
      <c r="C784" s="157"/>
      <c r="D784" s="157"/>
      <c r="E784" s="157"/>
      <c r="F784" s="157"/>
      <c r="G784" s="157"/>
      <c r="H784" s="157"/>
      <c r="I784" s="157"/>
      <c r="J784" s="157"/>
      <c r="K784" s="157"/>
      <c r="L784" s="157"/>
      <c r="M784" s="157"/>
    </row>
    <row r="785" spans="2:13" ht="15">
      <c r="B785" s="394"/>
      <c r="C785" s="157"/>
      <c r="D785" s="157"/>
      <c r="E785" s="157"/>
      <c r="F785" s="157"/>
      <c r="G785" s="157"/>
      <c r="H785" s="157"/>
      <c r="I785" s="157"/>
      <c r="J785" s="157"/>
      <c r="K785" s="157"/>
      <c r="L785" s="157"/>
      <c r="M785" s="157"/>
    </row>
    <row r="786" spans="2:13" ht="15">
      <c r="B786" s="394"/>
      <c r="C786" s="157"/>
      <c r="D786" s="157"/>
      <c r="E786" s="157"/>
      <c r="F786" s="157"/>
      <c r="G786" s="157"/>
      <c r="H786" s="157"/>
      <c r="I786" s="157"/>
      <c r="J786" s="157"/>
      <c r="K786" s="157"/>
      <c r="L786" s="157"/>
      <c r="M786" s="157"/>
    </row>
    <row r="787" spans="2:13" ht="15">
      <c r="B787" s="394"/>
      <c r="C787" s="157"/>
      <c r="D787" s="157"/>
      <c r="E787" s="157"/>
      <c r="F787" s="157"/>
      <c r="G787" s="157"/>
      <c r="H787" s="157"/>
      <c r="I787" s="157"/>
      <c r="J787" s="157"/>
      <c r="K787" s="157"/>
      <c r="L787" s="157"/>
      <c r="M787" s="157"/>
    </row>
    <row r="788" spans="2:13" ht="15">
      <c r="B788" s="394"/>
      <c r="C788" s="157"/>
      <c r="D788" s="157"/>
      <c r="E788" s="157"/>
      <c r="F788" s="157"/>
      <c r="G788" s="157"/>
      <c r="H788" s="157"/>
      <c r="I788" s="157"/>
      <c r="J788" s="157"/>
      <c r="K788" s="157"/>
      <c r="L788" s="157"/>
      <c r="M788" s="157"/>
    </row>
    <row r="789" spans="2:13" ht="15">
      <c r="B789" s="394"/>
      <c r="C789" s="157"/>
      <c r="D789" s="157"/>
      <c r="E789" s="157"/>
      <c r="F789" s="157"/>
      <c r="G789" s="157"/>
      <c r="H789" s="157"/>
      <c r="I789" s="157"/>
      <c r="J789" s="157"/>
      <c r="K789" s="157"/>
      <c r="L789" s="157"/>
      <c r="M789" s="157"/>
    </row>
    <row r="790" spans="2:13" ht="15">
      <c r="B790" s="394"/>
      <c r="C790" s="157"/>
      <c r="D790" s="157"/>
      <c r="E790" s="157"/>
      <c r="F790" s="157"/>
      <c r="G790" s="157"/>
      <c r="H790" s="157"/>
      <c r="I790" s="157"/>
      <c r="J790" s="157"/>
      <c r="K790" s="157"/>
      <c r="L790" s="157"/>
      <c r="M790" s="157"/>
    </row>
    <row r="791" spans="2:13" ht="15">
      <c r="B791" s="394"/>
      <c r="C791" s="157"/>
      <c r="D791" s="157"/>
      <c r="E791" s="157"/>
      <c r="F791" s="157"/>
      <c r="G791" s="157"/>
      <c r="H791" s="157"/>
      <c r="I791" s="157"/>
      <c r="J791" s="157"/>
      <c r="K791" s="157"/>
      <c r="L791" s="157"/>
      <c r="M791" s="157"/>
    </row>
    <row r="792" spans="2:13" ht="15">
      <c r="B792" s="394"/>
      <c r="C792" s="157"/>
      <c r="D792" s="157"/>
      <c r="E792" s="157"/>
      <c r="F792" s="157"/>
      <c r="G792" s="157"/>
      <c r="H792" s="157"/>
      <c r="I792" s="157"/>
      <c r="J792" s="157"/>
      <c r="K792" s="157"/>
      <c r="L792" s="157"/>
      <c r="M792" s="157"/>
    </row>
    <row r="793" spans="2:13" ht="15">
      <c r="B793" s="394"/>
      <c r="C793" s="157"/>
      <c r="D793" s="157"/>
      <c r="E793" s="157"/>
      <c r="F793" s="157"/>
      <c r="G793" s="157"/>
      <c r="H793" s="157"/>
      <c r="I793" s="157"/>
      <c r="J793" s="157"/>
      <c r="K793" s="157"/>
      <c r="L793" s="157"/>
      <c r="M793" s="157"/>
    </row>
    <row r="794" spans="2:13" ht="15">
      <c r="B794" s="394"/>
      <c r="C794" s="157"/>
      <c r="D794" s="157"/>
      <c r="E794" s="157"/>
      <c r="F794" s="157"/>
      <c r="G794" s="157"/>
      <c r="H794" s="157"/>
      <c r="I794" s="157"/>
      <c r="J794" s="157"/>
      <c r="K794" s="157"/>
      <c r="L794" s="157"/>
      <c r="M794" s="157"/>
    </row>
    <row r="795" spans="2:13" ht="15">
      <c r="B795" s="394"/>
      <c r="C795" s="157"/>
      <c r="D795" s="157"/>
      <c r="E795" s="157"/>
      <c r="F795" s="157"/>
      <c r="G795" s="157"/>
      <c r="H795" s="157"/>
      <c r="I795" s="157"/>
      <c r="J795" s="157"/>
      <c r="K795" s="157"/>
      <c r="L795" s="157"/>
      <c r="M795" s="157"/>
    </row>
    <row r="796" spans="2:13" ht="15">
      <c r="B796" s="394"/>
      <c r="C796" s="157"/>
      <c r="D796" s="157"/>
      <c r="E796" s="157"/>
      <c r="F796" s="157"/>
      <c r="G796" s="157"/>
      <c r="H796" s="157"/>
      <c r="I796" s="157"/>
      <c r="J796" s="157"/>
      <c r="K796" s="157"/>
      <c r="L796" s="157"/>
      <c r="M796" s="157"/>
    </row>
    <row r="797" spans="2:13" ht="15">
      <c r="B797" s="394"/>
      <c r="C797" s="157"/>
      <c r="D797" s="157"/>
      <c r="E797" s="157"/>
      <c r="F797" s="157"/>
      <c r="G797" s="157"/>
      <c r="H797" s="157"/>
      <c r="I797" s="157"/>
      <c r="J797" s="157"/>
      <c r="K797" s="157"/>
      <c r="L797" s="157"/>
      <c r="M797" s="157"/>
    </row>
    <row r="798" spans="2:13" ht="15">
      <c r="B798" s="394"/>
      <c r="C798" s="157"/>
      <c r="D798" s="157"/>
      <c r="E798" s="157"/>
      <c r="F798" s="157"/>
      <c r="G798" s="157"/>
      <c r="H798" s="157"/>
      <c r="I798" s="157"/>
      <c r="J798" s="157"/>
      <c r="K798" s="157"/>
      <c r="L798" s="157"/>
      <c r="M798" s="157"/>
    </row>
    <row r="799" spans="2:13" ht="15">
      <c r="B799" s="394"/>
      <c r="C799" s="157"/>
      <c r="D799" s="157"/>
      <c r="E799" s="157"/>
      <c r="F799" s="157"/>
      <c r="G799" s="157"/>
      <c r="H799" s="157"/>
      <c r="I799" s="157"/>
      <c r="J799" s="157"/>
      <c r="K799" s="157"/>
      <c r="L799" s="157"/>
      <c r="M799" s="157"/>
    </row>
    <row r="800" spans="2:13" ht="15">
      <c r="B800" s="394"/>
      <c r="C800" s="157"/>
      <c r="D800" s="157"/>
      <c r="E800" s="157"/>
      <c r="F800" s="157"/>
      <c r="G800" s="157"/>
      <c r="H800" s="157"/>
      <c r="I800" s="157"/>
      <c r="J800" s="157"/>
      <c r="K800" s="157"/>
      <c r="L800" s="157"/>
      <c r="M800" s="157"/>
    </row>
    <row r="801" spans="2:13" ht="15">
      <c r="B801" s="394"/>
      <c r="C801" s="157"/>
      <c r="D801" s="157"/>
      <c r="E801" s="157"/>
      <c r="F801" s="157"/>
      <c r="G801" s="157"/>
      <c r="H801" s="157"/>
      <c r="I801" s="157"/>
      <c r="J801" s="157"/>
      <c r="K801" s="157"/>
      <c r="L801" s="157"/>
      <c r="M801" s="157"/>
    </row>
    <row r="802" spans="2:13" ht="15">
      <c r="B802" s="394"/>
      <c r="C802" s="157"/>
      <c r="D802" s="157"/>
      <c r="E802" s="157"/>
      <c r="F802" s="157"/>
      <c r="G802" s="157"/>
      <c r="H802" s="157"/>
      <c r="I802" s="157"/>
      <c r="J802" s="157"/>
      <c r="K802" s="157"/>
      <c r="L802" s="157"/>
      <c r="M802" s="157"/>
    </row>
    <row r="803" spans="2:13" ht="15">
      <c r="B803" s="394"/>
      <c r="C803" s="157"/>
      <c r="D803" s="157"/>
      <c r="E803" s="157"/>
      <c r="F803" s="157"/>
      <c r="G803" s="157"/>
      <c r="H803" s="157"/>
      <c r="I803" s="157"/>
      <c r="J803" s="157"/>
      <c r="K803" s="157"/>
      <c r="L803" s="157"/>
      <c r="M803" s="157"/>
    </row>
    <row r="804" spans="2:13" ht="15">
      <c r="B804" s="394"/>
      <c r="C804" s="157"/>
      <c r="D804" s="157"/>
      <c r="E804" s="157"/>
      <c r="F804" s="157"/>
      <c r="G804" s="157"/>
      <c r="H804" s="157"/>
      <c r="I804" s="157"/>
      <c r="J804" s="157"/>
      <c r="K804" s="157"/>
      <c r="L804" s="157"/>
      <c r="M804" s="157"/>
    </row>
    <row r="805" spans="2:13" ht="15">
      <c r="B805" s="394"/>
      <c r="C805" s="157"/>
      <c r="D805" s="157"/>
      <c r="E805" s="157"/>
      <c r="F805" s="157"/>
      <c r="G805" s="157"/>
      <c r="H805" s="157"/>
      <c r="I805" s="157"/>
      <c r="J805" s="157"/>
      <c r="K805" s="157"/>
      <c r="L805" s="157"/>
      <c r="M805" s="157"/>
    </row>
    <row r="806" spans="2:13" ht="15">
      <c r="B806" s="394"/>
      <c r="C806" s="157"/>
      <c r="D806" s="157"/>
      <c r="E806" s="157"/>
      <c r="F806" s="157"/>
      <c r="G806" s="157"/>
      <c r="H806" s="157"/>
      <c r="I806" s="157"/>
      <c r="J806" s="157"/>
      <c r="K806" s="157"/>
      <c r="L806" s="157"/>
      <c r="M806" s="157"/>
    </row>
    <row r="807" spans="2:13" ht="15">
      <c r="B807" s="394"/>
      <c r="C807" s="157"/>
      <c r="D807" s="157"/>
      <c r="E807" s="157"/>
      <c r="F807" s="157"/>
      <c r="G807" s="157"/>
      <c r="H807" s="157"/>
      <c r="I807" s="157"/>
      <c r="J807" s="157"/>
      <c r="K807" s="157"/>
      <c r="L807" s="157"/>
      <c r="M807" s="157"/>
    </row>
    <row r="808" spans="2:13" ht="15">
      <c r="B808" s="394"/>
      <c r="C808" s="157"/>
      <c r="D808" s="157"/>
      <c r="E808" s="157"/>
      <c r="F808" s="157"/>
      <c r="G808" s="157"/>
      <c r="H808" s="157"/>
      <c r="I808" s="157"/>
      <c r="J808" s="157"/>
      <c r="K808" s="157"/>
      <c r="L808" s="157"/>
      <c r="M808" s="157"/>
    </row>
    <row r="809" spans="2:13" ht="15">
      <c r="B809" s="394"/>
      <c r="C809" s="157"/>
      <c r="D809" s="157"/>
      <c r="E809" s="157"/>
      <c r="F809" s="157"/>
      <c r="G809" s="157"/>
      <c r="H809" s="157"/>
      <c r="I809" s="157"/>
      <c r="J809" s="157"/>
      <c r="K809" s="157"/>
      <c r="L809" s="157"/>
      <c r="M809" s="157"/>
    </row>
    <row r="810" spans="2:13" ht="15">
      <c r="B810" s="394"/>
      <c r="C810" s="157"/>
      <c r="D810" s="157"/>
      <c r="E810" s="157"/>
      <c r="F810" s="157"/>
      <c r="G810" s="157"/>
      <c r="H810" s="157"/>
      <c r="I810" s="157"/>
      <c r="J810" s="157"/>
      <c r="K810" s="157"/>
      <c r="L810" s="157"/>
      <c r="M810" s="157"/>
    </row>
    <row r="811" spans="2:13" ht="15">
      <c r="B811" s="394"/>
      <c r="C811" s="157"/>
      <c r="D811" s="157"/>
      <c r="E811" s="157"/>
      <c r="F811" s="157"/>
      <c r="G811" s="157"/>
      <c r="H811" s="157"/>
      <c r="I811" s="157"/>
      <c r="J811" s="157"/>
      <c r="K811" s="157"/>
      <c r="L811" s="157"/>
      <c r="M811" s="157"/>
    </row>
    <row r="812" spans="2:13" ht="15">
      <c r="B812" s="394"/>
      <c r="C812" s="157"/>
      <c r="D812" s="157"/>
      <c r="E812" s="157"/>
      <c r="F812" s="157"/>
      <c r="G812" s="157"/>
      <c r="H812" s="157"/>
      <c r="I812" s="157"/>
      <c r="J812" s="157"/>
      <c r="K812" s="157"/>
      <c r="L812" s="157"/>
      <c r="M812" s="157"/>
    </row>
    <row r="813" spans="2:13" ht="15">
      <c r="B813" s="394"/>
      <c r="C813" s="157"/>
      <c r="D813" s="157"/>
      <c r="E813" s="157"/>
      <c r="F813" s="157"/>
      <c r="G813" s="157"/>
      <c r="H813" s="157"/>
      <c r="I813" s="157"/>
      <c r="J813" s="157"/>
      <c r="K813" s="157"/>
      <c r="L813" s="157"/>
      <c r="M813" s="157"/>
    </row>
    <row r="814" spans="2:13" ht="15">
      <c r="B814" s="394"/>
      <c r="C814" s="157"/>
      <c r="D814" s="157"/>
      <c r="E814" s="157"/>
      <c r="F814" s="157"/>
      <c r="G814" s="157"/>
      <c r="H814" s="157"/>
      <c r="I814" s="157"/>
      <c r="J814" s="157"/>
      <c r="K814" s="157"/>
      <c r="L814" s="157"/>
      <c r="M814" s="157"/>
    </row>
    <row r="815" spans="2:13" ht="15">
      <c r="B815" s="394"/>
      <c r="C815" s="157"/>
      <c r="D815" s="157"/>
      <c r="E815" s="157"/>
      <c r="F815" s="157"/>
      <c r="G815" s="157"/>
      <c r="H815" s="157"/>
      <c r="I815" s="157"/>
      <c r="J815" s="157"/>
      <c r="K815" s="157"/>
      <c r="L815" s="157"/>
      <c r="M815" s="157"/>
    </row>
    <row r="816" spans="2:13" ht="15">
      <c r="B816" s="394"/>
      <c r="C816" s="157"/>
      <c r="D816" s="157"/>
      <c r="E816" s="157"/>
      <c r="F816" s="157"/>
      <c r="G816" s="157"/>
      <c r="H816" s="157"/>
      <c r="I816" s="157"/>
      <c r="J816" s="157"/>
      <c r="K816" s="157"/>
      <c r="L816" s="157"/>
      <c r="M816" s="157"/>
    </row>
    <row r="817" spans="2:13" ht="15">
      <c r="B817" s="394"/>
      <c r="C817" s="157"/>
      <c r="D817" s="157"/>
      <c r="E817" s="157"/>
      <c r="F817" s="157"/>
      <c r="G817" s="157"/>
      <c r="H817" s="157"/>
      <c r="I817" s="157"/>
      <c r="J817" s="157"/>
      <c r="K817" s="157"/>
      <c r="L817" s="157"/>
      <c r="M817" s="157"/>
    </row>
    <row r="818" spans="2:13" ht="15">
      <c r="B818" s="394"/>
      <c r="C818" s="157"/>
      <c r="D818" s="157"/>
      <c r="E818" s="157"/>
      <c r="F818" s="157"/>
      <c r="G818" s="157"/>
      <c r="H818" s="157"/>
      <c r="I818" s="157"/>
      <c r="J818" s="157"/>
      <c r="K818" s="157"/>
      <c r="L818" s="157"/>
      <c r="M818" s="157"/>
    </row>
    <row r="819" spans="2:13" ht="15">
      <c r="B819" s="394"/>
      <c r="C819" s="157"/>
      <c r="D819" s="157"/>
      <c r="E819" s="157"/>
      <c r="F819" s="157"/>
      <c r="G819" s="157"/>
      <c r="H819" s="157"/>
      <c r="I819" s="157"/>
      <c r="J819" s="157"/>
      <c r="K819" s="157"/>
      <c r="L819" s="157"/>
      <c r="M819" s="157"/>
    </row>
    <row r="820" spans="2:13" ht="15">
      <c r="B820" s="394"/>
      <c r="C820" s="157"/>
      <c r="D820" s="157"/>
      <c r="E820" s="157"/>
      <c r="F820" s="157"/>
      <c r="G820" s="157"/>
      <c r="H820" s="157"/>
      <c r="I820" s="157"/>
      <c r="J820" s="157"/>
      <c r="K820" s="157"/>
      <c r="L820" s="157"/>
      <c r="M820" s="157"/>
    </row>
    <row r="821" spans="2:13" ht="15">
      <c r="B821" s="394"/>
      <c r="C821" s="157"/>
      <c r="D821" s="157"/>
      <c r="E821" s="157"/>
      <c r="F821" s="157"/>
      <c r="G821" s="157"/>
      <c r="H821" s="157"/>
      <c r="I821" s="157"/>
      <c r="J821" s="157"/>
      <c r="K821" s="157"/>
      <c r="L821" s="157"/>
      <c r="M821" s="157"/>
    </row>
    <row r="822" spans="2:13" ht="15">
      <c r="B822" s="394"/>
      <c r="C822" s="157"/>
      <c r="D822" s="157"/>
      <c r="E822" s="157"/>
      <c r="F822" s="157"/>
      <c r="G822" s="157"/>
      <c r="H822" s="157"/>
      <c r="I822" s="157"/>
      <c r="J822" s="157"/>
      <c r="K822" s="157"/>
      <c r="L822" s="157"/>
      <c r="M822" s="157"/>
    </row>
    <row r="823" spans="2:13" ht="15">
      <c r="B823" s="394"/>
      <c r="C823" s="157"/>
      <c r="D823" s="157"/>
      <c r="E823" s="157"/>
      <c r="F823" s="157"/>
      <c r="G823" s="157"/>
      <c r="H823" s="157"/>
      <c r="I823" s="157"/>
      <c r="J823" s="157"/>
      <c r="K823" s="157"/>
      <c r="L823" s="157"/>
      <c r="M823" s="157"/>
    </row>
    <row r="824" spans="2:13" ht="15">
      <c r="B824" s="394"/>
      <c r="C824" s="157"/>
      <c r="D824" s="157"/>
      <c r="E824" s="157"/>
      <c r="F824" s="157"/>
      <c r="G824" s="157"/>
      <c r="H824" s="157"/>
      <c r="I824" s="157"/>
      <c r="J824" s="157"/>
      <c r="K824" s="157"/>
      <c r="L824" s="157"/>
      <c r="M824" s="157"/>
    </row>
    <row r="825" spans="2:13" ht="15">
      <c r="B825" s="394"/>
      <c r="C825" s="157"/>
      <c r="D825" s="157"/>
      <c r="E825" s="157"/>
      <c r="F825" s="157"/>
      <c r="G825" s="157"/>
      <c r="H825" s="157"/>
      <c r="I825" s="157"/>
      <c r="J825" s="157"/>
      <c r="K825" s="157"/>
      <c r="L825" s="157"/>
      <c r="M825" s="157"/>
    </row>
    <row r="826" spans="2:13" ht="15">
      <c r="B826" s="394"/>
      <c r="C826" s="157"/>
      <c r="D826" s="157"/>
      <c r="E826" s="157"/>
      <c r="F826" s="157"/>
      <c r="G826" s="157"/>
      <c r="H826" s="157"/>
      <c r="I826" s="157"/>
      <c r="J826" s="157"/>
      <c r="K826" s="157"/>
      <c r="L826" s="157"/>
      <c r="M826" s="157"/>
    </row>
    <row r="827" spans="2:13" ht="15">
      <c r="B827" s="394"/>
      <c r="C827" s="157"/>
      <c r="D827" s="157"/>
      <c r="E827" s="157"/>
      <c r="F827" s="157"/>
      <c r="G827" s="157"/>
      <c r="H827" s="157"/>
      <c r="I827" s="157"/>
      <c r="J827" s="157"/>
      <c r="K827" s="157"/>
      <c r="L827" s="157"/>
      <c r="M827" s="157"/>
    </row>
    <row r="828" spans="2:13" ht="15">
      <c r="B828" s="394"/>
      <c r="C828" s="157"/>
      <c r="D828" s="157"/>
      <c r="E828" s="157"/>
      <c r="F828" s="157"/>
      <c r="G828" s="157"/>
      <c r="H828" s="157"/>
      <c r="I828" s="157"/>
      <c r="J828" s="157"/>
      <c r="K828" s="157"/>
      <c r="L828" s="157"/>
      <c r="M828" s="157"/>
    </row>
    <row r="829" spans="2:13" ht="15">
      <c r="B829" s="394"/>
      <c r="C829" s="157"/>
      <c r="D829" s="157"/>
      <c r="E829" s="157"/>
      <c r="F829" s="157"/>
      <c r="G829" s="157"/>
      <c r="H829" s="157"/>
      <c r="I829" s="157"/>
      <c r="J829" s="157"/>
      <c r="K829" s="157"/>
      <c r="L829" s="157"/>
      <c r="M829" s="157"/>
    </row>
    <row r="830" spans="2:13" ht="15">
      <c r="B830" s="394"/>
      <c r="C830" s="157"/>
      <c r="D830" s="157"/>
      <c r="E830" s="157"/>
      <c r="F830" s="157"/>
      <c r="G830" s="157"/>
      <c r="H830" s="157"/>
      <c r="I830" s="157"/>
      <c r="J830" s="157"/>
      <c r="K830" s="157"/>
      <c r="L830" s="157"/>
      <c r="M830" s="157"/>
    </row>
    <row r="831" spans="2:13" ht="15">
      <c r="B831" s="394"/>
      <c r="C831" s="157"/>
      <c r="D831" s="157"/>
      <c r="E831" s="157"/>
      <c r="F831" s="157"/>
      <c r="G831" s="157"/>
      <c r="H831" s="157"/>
      <c r="I831" s="157"/>
      <c r="J831" s="157"/>
      <c r="K831" s="157"/>
      <c r="L831" s="157"/>
      <c r="M831" s="157"/>
    </row>
    <row r="832" spans="2:13" ht="15">
      <c r="B832" s="394"/>
      <c r="C832" s="157"/>
      <c r="D832" s="157"/>
      <c r="E832" s="157"/>
      <c r="F832" s="157"/>
      <c r="G832" s="157"/>
      <c r="H832" s="157"/>
      <c r="I832" s="157"/>
      <c r="J832" s="157"/>
      <c r="K832" s="157"/>
      <c r="L832" s="157"/>
      <c r="M832" s="157"/>
    </row>
    <row r="833" spans="2:13" ht="15">
      <c r="B833" s="394"/>
      <c r="C833" s="157"/>
      <c r="D833" s="157"/>
      <c r="E833" s="157"/>
      <c r="F833" s="157"/>
      <c r="G833" s="157"/>
      <c r="H833" s="157"/>
      <c r="I833" s="157"/>
      <c r="J833" s="157"/>
      <c r="K833" s="157"/>
      <c r="L833" s="157"/>
      <c r="M833" s="157"/>
    </row>
    <row r="834" spans="2:13" ht="15">
      <c r="B834" s="394"/>
      <c r="C834" s="157"/>
      <c r="D834" s="157"/>
      <c r="E834" s="157"/>
      <c r="F834" s="157"/>
      <c r="G834" s="157"/>
      <c r="H834" s="157"/>
      <c r="I834" s="157"/>
      <c r="J834" s="157"/>
      <c r="K834" s="157"/>
      <c r="L834" s="157"/>
      <c r="M834" s="157"/>
    </row>
    <row r="835" spans="2:13" ht="15">
      <c r="B835" s="394"/>
      <c r="C835" s="157"/>
      <c r="D835" s="157"/>
      <c r="E835" s="157"/>
      <c r="F835" s="157"/>
      <c r="G835" s="157"/>
      <c r="H835" s="157"/>
      <c r="I835" s="157"/>
      <c r="J835" s="157"/>
      <c r="K835" s="157"/>
      <c r="L835" s="157"/>
      <c r="M835" s="157"/>
    </row>
    <row r="836" spans="2:13" ht="15">
      <c r="B836" s="394"/>
      <c r="C836" s="157"/>
      <c r="D836" s="157"/>
      <c r="E836" s="157"/>
      <c r="F836" s="157"/>
      <c r="G836" s="157"/>
      <c r="H836" s="157"/>
      <c r="I836" s="157"/>
      <c r="J836" s="157"/>
      <c r="K836" s="157"/>
      <c r="L836" s="157"/>
      <c r="M836" s="157"/>
    </row>
    <row r="837" spans="2:13" ht="15">
      <c r="B837" s="394"/>
      <c r="C837" s="157"/>
      <c r="D837" s="157"/>
      <c r="E837" s="157"/>
      <c r="F837" s="157"/>
      <c r="G837" s="157"/>
      <c r="H837" s="157"/>
      <c r="I837" s="157"/>
      <c r="J837" s="157"/>
      <c r="K837" s="157"/>
      <c r="L837" s="157"/>
      <c r="M837" s="157"/>
    </row>
    <row r="838" spans="2:13" ht="15">
      <c r="B838" s="394"/>
      <c r="C838" s="157"/>
      <c r="D838" s="157"/>
      <c r="E838" s="157"/>
      <c r="F838" s="157"/>
      <c r="G838" s="157"/>
      <c r="H838" s="157"/>
      <c r="I838" s="157"/>
      <c r="J838" s="157"/>
      <c r="K838" s="157"/>
      <c r="L838" s="157"/>
      <c r="M838" s="157"/>
    </row>
    <row r="839" spans="2:13" ht="15">
      <c r="B839" s="394"/>
      <c r="C839" s="157"/>
      <c r="D839" s="157"/>
      <c r="E839" s="157"/>
      <c r="F839" s="157"/>
      <c r="G839" s="157"/>
      <c r="H839" s="157"/>
      <c r="I839" s="157"/>
      <c r="J839" s="157"/>
      <c r="K839" s="157"/>
      <c r="L839" s="157"/>
      <c r="M839" s="157"/>
    </row>
    <row r="840" spans="2:13" ht="15">
      <c r="B840" s="394"/>
      <c r="C840" s="157"/>
      <c r="D840" s="157"/>
      <c r="E840" s="157"/>
      <c r="F840" s="157"/>
      <c r="G840" s="157"/>
      <c r="H840" s="157"/>
      <c r="I840" s="157"/>
      <c r="J840" s="157"/>
      <c r="K840" s="157"/>
      <c r="L840" s="157"/>
      <c r="M840" s="157"/>
    </row>
    <row r="841" spans="2:13" ht="15">
      <c r="B841" s="394"/>
      <c r="C841" s="157"/>
      <c r="D841" s="157"/>
      <c r="E841" s="157"/>
      <c r="F841" s="157"/>
      <c r="G841" s="157"/>
      <c r="H841" s="157"/>
      <c r="I841" s="157"/>
      <c r="J841" s="157"/>
      <c r="K841" s="157"/>
      <c r="L841" s="157"/>
      <c r="M841" s="157"/>
    </row>
    <row r="842" spans="2:13" ht="15">
      <c r="B842" s="394"/>
      <c r="C842" s="157"/>
      <c r="D842" s="157"/>
      <c r="E842" s="157"/>
      <c r="F842" s="157"/>
      <c r="G842" s="157"/>
      <c r="H842" s="157"/>
      <c r="I842" s="157"/>
      <c r="J842" s="157"/>
      <c r="K842" s="157"/>
      <c r="L842" s="157"/>
      <c r="M842" s="157"/>
    </row>
    <row r="843" spans="2:13" ht="15">
      <c r="B843" s="394"/>
      <c r="C843" s="157"/>
      <c r="D843" s="157"/>
      <c r="E843" s="157"/>
      <c r="F843" s="157"/>
      <c r="G843" s="157"/>
      <c r="H843" s="157"/>
      <c r="I843" s="157"/>
      <c r="J843" s="157"/>
      <c r="K843" s="157"/>
      <c r="L843" s="157"/>
      <c r="M843" s="157"/>
    </row>
    <row r="844" spans="2:13" ht="15">
      <c r="B844" s="394"/>
      <c r="C844" s="157"/>
      <c r="D844" s="157"/>
      <c r="E844" s="157"/>
      <c r="F844" s="157"/>
      <c r="G844" s="157"/>
      <c r="H844" s="157"/>
      <c r="I844" s="157"/>
      <c r="J844" s="157"/>
      <c r="K844" s="157"/>
      <c r="L844" s="157"/>
      <c r="M844" s="157"/>
    </row>
    <row r="845" spans="2:13" ht="15">
      <c r="B845" s="394"/>
      <c r="C845" s="157"/>
      <c r="D845" s="157"/>
      <c r="E845" s="157"/>
      <c r="F845" s="157"/>
      <c r="G845" s="157"/>
      <c r="H845" s="157"/>
      <c r="I845" s="157"/>
      <c r="J845" s="157"/>
      <c r="K845" s="157"/>
      <c r="L845" s="157"/>
      <c r="M845" s="157"/>
    </row>
    <row r="846" spans="2:13" ht="15">
      <c r="B846" s="394"/>
      <c r="C846" s="157"/>
      <c r="D846" s="157"/>
      <c r="E846" s="157"/>
      <c r="F846" s="157"/>
      <c r="G846" s="157"/>
      <c r="H846" s="157"/>
      <c r="I846" s="157"/>
      <c r="J846" s="157"/>
      <c r="K846" s="157"/>
      <c r="L846" s="157"/>
      <c r="M846" s="157"/>
    </row>
    <row r="847" spans="2:13" ht="15">
      <c r="B847" s="394"/>
      <c r="C847" s="157"/>
      <c r="D847" s="157"/>
      <c r="E847" s="157"/>
      <c r="F847" s="157"/>
      <c r="G847" s="157"/>
      <c r="H847" s="157"/>
      <c r="I847" s="157"/>
      <c r="J847" s="157"/>
      <c r="K847" s="157"/>
      <c r="L847" s="157"/>
      <c r="M847" s="157"/>
    </row>
    <row r="848" spans="2:13" ht="15">
      <c r="B848" s="394"/>
      <c r="C848" s="157"/>
      <c r="D848" s="157"/>
      <c r="E848" s="157"/>
      <c r="F848" s="157"/>
      <c r="G848" s="157"/>
      <c r="H848" s="157"/>
      <c r="I848" s="157"/>
      <c r="J848" s="157"/>
      <c r="K848" s="157"/>
      <c r="L848" s="157"/>
      <c r="M848" s="157"/>
    </row>
    <row r="849" spans="2:13" ht="15">
      <c r="B849" s="394"/>
      <c r="C849" s="157"/>
      <c r="D849" s="157"/>
      <c r="E849" s="157"/>
      <c r="F849" s="157"/>
      <c r="G849" s="157"/>
      <c r="H849" s="157"/>
      <c r="I849" s="157"/>
      <c r="J849" s="157"/>
      <c r="K849" s="157"/>
      <c r="L849" s="157"/>
      <c r="M849" s="157"/>
    </row>
    <row r="850" spans="2:13" ht="15">
      <c r="B850" s="394"/>
      <c r="C850" s="157"/>
      <c r="D850" s="157"/>
      <c r="E850" s="157"/>
      <c r="F850" s="157"/>
      <c r="G850" s="157"/>
      <c r="H850" s="157"/>
      <c r="I850" s="157"/>
      <c r="J850" s="157"/>
      <c r="K850" s="157"/>
      <c r="L850" s="157"/>
      <c r="M850" s="157"/>
    </row>
    <row r="851" spans="2:13" ht="15">
      <c r="B851" s="394"/>
      <c r="C851" s="157"/>
      <c r="D851" s="157"/>
      <c r="E851" s="157"/>
      <c r="F851" s="157"/>
      <c r="G851" s="157"/>
      <c r="H851" s="157"/>
      <c r="I851" s="157"/>
      <c r="J851" s="157"/>
      <c r="K851" s="157"/>
      <c r="L851" s="157"/>
      <c r="M851" s="157"/>
    </row>
    <row r="852" spans="2:13" ht="15">
      <c r="B852" s="394"/>
      <c r="C852" s="157"/>
      <c r="D852" s="157"/>
      <c r="E852" s="157"/>
      <c r="F852" s="157"/>
      <c r="G852" s="157"/>
      <c r="H852" s="157"/>
      <c r="I852" s="157"/>
      <c r="J852" s="157"/>
      <c r="K852" s="157"/>
      <c r="L852" s="157"/>
      <c r="M852" s="157"/>
    </row>
    <row r="853" spans="2:13" ht="15">
      <c r="B853" s="394"/>
      <c r="C853" s="157"/>
      <c r="D853" s="157"/>
      <c r="E853" s="157"/>
      <c r="F853" s="157"/>
      <c r="G853" s="157"/>
      <c r="H853" s="157"/>
      <c r="I853" s="157"/>
      <c r="J853" s="157"/>
      <c r="K853" s="157"/>
      <c r="L853" s="157"/>
      <c r="M853" s="157"/>
    </row>
    <row r="854" spans="2:13" ht="15">
      <c r="B854" s="394"/>
      <c r="C854" s="157"/>
      <c r="D854" s="157"/>
      <c r="E854" s="157"/>
      <c r="F854" s="157"/>
      <c r="G854" s="157"/>
      <c r="H854" s="157"/>
      <c r="I854" s="157"/>
      <c r="J854" s="157"/>
      <c r="K854" s="157"/>
      <c r="L854" s="157"/>
      <c r="M854" s="157"/>
    </row>
    <row r="855" spans="2:13" ht="15">
      <c r="B855" s="394"/>
      <c r="C855" s="157"/>
      <c r="D855" s="157"/>
      <c r="E855" s="157"/>
      <c r="F855" s="157"/>
      <c r="G855" s="157"/>
      <c r="H855" s="157"/>
      <c r="I855" s="157"/>
      <c r="J855" s="157"/>
      <c r="K855" s="157"/>
      <c r="L855" s="157"/>
      <c r="M855" s="157"/>
    </row>
    <row r="856" spans="2:13" ht="15">
      <c r="B856" s="394"/>
      <c r="C856" s="157"/>
      <c r="D856" s="157"/>
      <c r="E856" s="157"/>
      <c r="F856" s="157"/>
      <c r="G856" s="157"/>
      <c r="H856" s="157"/>
      <c r="I856" s="157"/>
      <c r="J856" s="157"/>
      <c r="K856" s="157"/>
      <c r="L856" s="157"/>
      <c r="M856" s="157"/>
    </row>
    <row r="857" spans="2:13" ht="15">
      <c r="B857" s="394"/>
      <c r="C857" s="157"/>
      <c r="D857" s="157"/>
      <c r="E857" s="157"/>
      <c r="F857" s="157"/>
      <c r="G857" s="157"/>
      <c r="H857" s="157"/>
      <c r="I857" s="157"/>
      <c r="J857" s="157"/>
      <c r="K857" s="157"/>
      <c r="L857" s="157"/>
      <c r="M857" s="157"/>
    </row>
    <row r="858" spans="2:13" ht="15">
      <c r="B858" s="394"/>
      <c r="C858" s="157"/>
      <c r="D858" s="157"/>
      <c r="E858" s="157"/>
      <c r="F858" s="157"/>
      <c r="G858" s="157"/>
      <c r="H858" s="157"/>
      <c r="I858" s="157"/>
      <c r="J858" s="157"/>
      <c r="K858" s="157"/>
      <c r="L858" s="157"/>
      <c r="M858" s="157"/>
    </row>
    <row r="859" spans="2:13" ht="15">
      <c r="B859" s="394"/>
      <c r="C859" s="157"/>
      <c r="D859" s="157"/>
      <c r="E859" s="157"/>
      <c r="F859" s="157"/>
      <c r="G859" s="157"/>
      <c r="H859" s="157"/>
      <c r="I859" s="157"/>
      <c r="J859" s="157"/>
      <c r="K859" s="157"/>
      <c r="L859" s="157"/>
      <c r="M859" s="157"/>
    </row>
    <row r="860" spans="2:13" ht="15">
      <c r="B860" s="394"/>
      <c r="C860" s="157"/>
      <c r="D860" s="157"/>
      <c r="E860" s="157"/>
      <c r="F860" s="157"/>
      <c r="G860" s="157"/>
      <c r="H860" s="157"/>
      <c r="I860" s="157"/>
      <c r="J860" s="157"/>
      <c r="K860" s="157"/>
      <c r="L860" s="157"/>
      <c r="M860" s="157"/>
    </row>
    <row r="861" spans="2:13" ht="15">
      <c r="B861" s="394"/>
      <c r="C861" s="157"/>
      <c r="D861" s="157"/>
      <c r="E861" s="157"/>
      <c r="F861" s="157"/>
      <c r="G861" s="157"/>
      <c r="H861" s="157"/>
      <c r="I861" s="157"/>
      <c r="J861" s="157"/>
      <c r="K861" s="157"/>
      <c r="L861" s="157"/>
      <c r="M861" s="157"/>
    </row>
    <row r="862" spans="2:13" ht="15">
      <c r="B862" s="394"/>
      <c r="C862" s="157"/>
      <c r="D862" s="157"/>
      <c r="E862" s="157"/>
      <c r="F862" s="157"/>
      <c r="G862" s="157"/>
      <c r="H862" s="157"/>
      <c r="I862" s="157"/>
      <c r="J862" s="157"/>
      <c r="K862" s="157"/>
      <c r="L862" s="157"/>
      <c r="M862" s="157"/>
    </row>
    <row r="863" spans="2:13" ht="15">
      <c r="B863" s="394"/>
      <c r="C863" s="157"/>
      <c r="D863" s="157"/>
      <c r="E863" s="157"/>
      <c r="F863" s="157"/>
      <c r="G863" s="157"/>
      <c r="H863" s="157"/>
      <c r="I863" s="157"/>
      <c r="J863" s="157"/>
      <c r="K863" s="157"/>
      <c r="L863" s="157"/>
      <c r="M863" s="157"/>
    </row>
    <row r="864" spans="2:13" ht="15">
      <c r="B864" s="394"/>
      <c r="C864" s="157"/>
      <c r="D864" s="157"/>
      <c r="E864" s="157"/>
      <c r="F864" s="157"/>
      <c r="G864" s="157"/>
      <c r="H864" s="157"/>
      <c r="I864" s="157"/>
      <c r="J864" s="157"/>
      <c r="K864" s="157"/>
      <c r="L864" s="157"/>
      <c r="M864" s="157"/>
    </row>
    <row r="865" spans="2:13" ht="15">
      <c r="B865" s="394"/>
      <c r="C865" s="157"/>
      <c r="D865" s="157"/>
      <c r="E865" s="157"/>
      <c r="F865" s="157"/>
      <c r="G865" s="157"/>
      <c r="H865" s="157"/>
      <c r="I865" s="157"/>
      <c r="J865" s="157"/>
      <c r="K865" s="157"/>
      <c r="L865" s="157"/>
      <c r="M865" s="157"/>
    </row>
    <row r="866" spans="2:13" ht="15">
      <c r="B866" s="394"/>
      <c r="C866" s="157"/>
      <c r="D866" s="157"/>
      <c r="E866" s="157"/>
      <c r="F866" s="157"/>
      <c r="G866" s="157"/>
      <c r="H866" s="157"/>
      <c r="I866" s="157"/>
      <c r="J866" s="157"/>
      <c r="K866" s="157"/>
      <c r="L866" s="157"/>
      <c r="M866" s="157"/>
    </row>
    <row r="867" spans="2:13" ht="15">
      <c r="B867" s="394"/>
      <c r="C867" s="157"/>
      <c r="D867" s="157"/>
      <c r="E867" s="157"/>
      <c r="F867" s="157"/>
      <c r="G867" s="157"/>
      <c r="H867" s="157"/>
      <c r="I867" s="157"/>
      <c r="J867" s="157"/>
      <c r="K867" s="157"/>
      <c r="L867" s="157"/>
      <c r="M867" s="157"/>
    </row>
    <row r="868" spans="2:13" ht="15">
      <c r="B868" s="394"/>
      <c r="C868" s="157"/>
      <c r="D868" s="157"/>
      <c r="E868" s="157"/>
      <c r="F868" s="157"/>
      <c r="G868" s="157"/>
      <c r="H868" s="157"/>
      <c r="I868" s="157"/>
      <c r="J868" s="157"/>
      <c r="K868" s="157"/>
      <c r="L868" s="157"/>
      <c r="M868" s="157"/>
    </row>
    <row r="869" spans="2:13" ht="15">
      <c r="B869" s="394"/>
      <c r="C869" s="157"/>
      <c r="D869" s="157"/>
      <c r="E869" s="157"/>
      <c r="F869" s="157"/>
      <c r="G869" s="157"/>
      <c r="H869" s="157"/>
      <c r="I869" s="157"/>
      <c r="J869" s="157"/>
      <c r="K869" s="157"/>
      <c r="L869" s="157"/>
      <c r="M869" s="157"/>
    </row>
    <row r="870" spans="2:13" ht="15">
      <c r="B870" s="394"/>
      <c r="C870" s="157"/>
      <c r="D870" s="157"/>
      <c r="E870" s="157"/>
      <c r="F870" s="157"/>
      <c r="G870" s="157"/>
      <c r="H870" s="157"/>
      <c r="I870" s="157"/>
      <c r="J870" s="157"/>
      <c r="K870" s="157"/>
      <c r="L870" s="157"/>
      <c r="M870" s="157"/>
    </row>
    <row r="871" spans="2:13" ht="15">
      <c r="B871" s="394"/>
      <c r="C871" s="157"/>
      <c r="D871" s="157"/>
      <c r="E871" s="157"/>
      <c r="F871" s="157"/>
      <c r="G871" s="157"/>
      <c r="H871" s="157"/>
      <c r="I871" s="157"/>
      <c r="J871" s="157"/>
      <c r="K871" s="157"/>
      <c r="L871" s="157"/>
      <c r="M871" s="157"/>
    </row>
    <row r="872" spans="2:13" ht="15">
      <c r="B872" s="394"/>
      <c r="C872" s="157"/>
      <c r="D872" s="157"/>
      <c r="E872" s="157"/>
      <c r="F872" s="157"/>
      <c r="G872" s="157"/>
      <c r="H872" s="157"/>
      <c r="I872" s="157"/>
      <c r="J872" s="157"/>
      <c r="K872" s="157"/>
      <c r="L872" s="157"/>
      <c r="M872" s="157"/>
    </row>
    <row r="873" spans="2:13" ht="15">
      <c r="B873" s="394"/>
      <c r="C873" s="157"/>
      <c r="D873" s="157"/>
      <c r="E873" s="157"/>
      <c r="F873" s="157"/>
      <c r="G873" s="157"/>
      <c r="H873" s="157"/>
      <c r="I873" s="157"/>
      <c r="J873" s="157"/>
      <c r="K873" s="157"/>
      <c r="L873" s="157"/>
      <c r="M873" s="157"/>
    </row>
    <row r="874" spans="2:13" ht="15">
      <c r="B874" s="394"/>
      <c r="C874" s="157"/>
      <c r="D874" s="157"/>
      <c r="E874" s="157"/>
      <c r="F874" s="157"/>
      <c r="G874" s="157"/>
      <c r="H874" s="157"/>
      <c r="I874" s="157"/>
      <c r="J874" s="157"/>
      <c r="K874" s="157"/>
      <c r="L874" s="157"/>
      <c r="M874" s="157"/>
    </row>
    <row r="875" spans="2:13" ht="15">
      <c r="B875" s="394"/>
      <c r="C875" s="157"/>
      <c r="D875" s="157"/>
      <c r="E875" s="157"/>
      <c r="F875" s="157"/>
      <c r="G875" s="157"/>
      <c r="H875" s="157"/>
      <c r="I875" s="157"/>
      <c r="J875" s="157"/>
      <c r="K875" s="157"/>
      <c r="L875" s="157"/>
      <c r="M875" s="157"/>
    </row>
    <row r="876" spans="2:13" ht="15">
      <c r="B876" s="394"/>
      <c r="C876" s="157"/>
      <c r="D876" s="157"/>
      <c r="E876" s="157"/>
      <c r="F876" s="157"/>
      <c r="G876" s="157"/>
      <c r="H876" s="157"/>
      <c r="I876" s="157"/>
      <c r="J876" s="157"/>
      <c r="K876" s="157"/>
      <c r="L876" s="157"/>
      <c r="M876" s="157"/>
    </row>
    <row r="877" spans="2:13" ht="15">
      <c r="B877" s="394"/>
      <c r="C877" s="157"/>
      <c r="D877" s="157"/>
      <c r="E877" s="157"/>
      <c r="F877" s="157"/>
      <c r="G877" s="157"/>
      <c r="H877" s="157"/>
      <c r="I877" s="157"/>
      <c r="J877" s="157"/>
      <c r="K877" s="157"/>
      <c r="L877" s="157"/>
      <c r="M877" s="157"/>
    </row>
    <row r="878" spans="2:13" ht="15">
      <c r="B878" s="394"/>
      <c r="C878" s="157"/>
      <c r="D878" s="157"/>
      <c r="E878" s="157"/>
      <c r="F878" s="157"/>
      <c r="G878" s="157"/>
      <c r="H878" s="157"/>
      <c r="I878" s="157"/>
      <c r="J878" s="157"/>
      <c r="K878" s="157"/>
      <c r="L878" s="157"/>
      <c r="M878" s="157"/>
    </row>
    <row r="879" spans="2:13" ht="15">
      <c r="B879" s="394"/>
      <c r="C879" s="157"/>
      <c r="D879" s="157"/>
      <c r="E879" s="157"/>
      <c r="F879" s="157"/>
      <c r="G879" s="157"/>
      <c r="H879" s="157"/>
      <c r="I879" s="157"/>
      <c r="J879" s="157"/>
      <c r="K879" s="157"/>
      <c r="L879" s="157"/>
      <c r="M879" s="157"/>
    </row>
    <row r="880" spans="2:13" ht="15">
      <c r="B880" s="394"/>
      <c r="C880" s="157"/>
      <c r="D880" s="157"/>
      <c r="E880" s="157"/>
      <c r="F880" s="157"/>
      <c r="G880" s="157"/>
      <c r="H880" s="157"/>
      <c r="I880" s="157"/>
      <c r="J880" s="157"/>
      <c r="K880" s="157"/>
      <c r="L880" s="157"/>
      <c r="M880" s="157"/>
    </row>
    <row r="881" spans="2:13" ht="15">
      <c r="B881" s="394"/>
      <c r="C881" s="157"/>
      <c r="D881" s="157"/>
      <c r="E881" s="157"/>
      <c r="F881" s="157"/>
      <c r="G881" s="157"/>
      <c r="H881" s="157"/>
      <c r="I881" s="157"/>
      <c r="J881" s="157"/>
      <c r="K881" s="157"/>
      <c r="L881" s="157"/>
      <c r="M881" s="157"/>
    </row>
    <row r="882" spans="2:13" ht="15">
      <c r="B882" s="394"/>
      <c r="C882" s="157"/>
      <c r="D882" s="157"/>
      <c r="E882" s="157"/>
      <c r="F882" s="157"/>
      <c r="G882" s="157"/>
      <c r="H882" s="157"/>
      <c r="I882" s="157"/>
      <c r="J882" s="157"/>
      <c r="K882" s="157"/>
      <c r="L882" s="157"/>
      <c r="M882" s="157"/>
    </row>
    <row r="883" spans="2:13" ht="15">
      <c r="B883" s="394"/>
      <c r="C883" s="157"/>
      <c r="D883" s="157"/>
      <c r="E883" s="157"/>
      <c r="F883" s="157"/>
      <c r="G883" s="157"/>
      <c r="H883" s="157"/>
      <c r="I883" s="157"/>
      <c r="J883" s="157"/>
      <c r="K883" s="157"/>
      <c r="L883" s="157"/>
      <c r="M883" s="157"/>
    </row>
    <row r="884" spans="2:13" ht="15">
      <c r="B884" s="394"/>
      <c r="C884" s="157"/>
      <c r="D884" s="157"/>
      <c r="E884" s="157"/>
      <c r="F884" s="157"/>
      <c r="G884" s="157"/>
      <c r="H884" s="157"/>
      <c r="I884" s="157"/>
      <c r="J884" s="157"/>
      <c r="K884" s="157"/>
      <c r="L884" s="157"/>
      <c r="M884" s="157"/>
    </row>
    <row r="885" spans="2:13" ht="15">
      <c r="B885" s="394"/>
      <c r="C885" s="157"/>
      <c r="D885" s="157"/>
      <c r="E885" s="157"/>
      <c r="F885" s="157"/>
      <c r="G885" s="157"/>
      <c r="H885" s="157"/>
      <c r="I885" s="157"/>
      <c r="J885" s="157"/>
      <c r="K885" s="157"/>
      <c r="L885" s="157"/>
      <c r="M885" s="157"/>
    </row>
    <row r="886" spans="2:13" ht="15">
      <c r="B886" s="394"/>
      <c r="C886" s="157"/>
      <c r="D886" s="157"/>
      <c r="E886" s="157"/>
      <c r="F886" s="157"/>
      <c r="G886" s="157"/>
      <c r="H886" s="157"/>
      <c r="I886" s="157"/>
      <c r="J886" s="157"/>
      <c r="K886" s="157"/>
      <c r="L886" s="157"/>
      <c r="M886" s="157"/>
    </row>
    <row r="887" spans="2:13" ht="15">
      <c r="B887" s="394"/>
      <c r="C887" s="157"/>
      <c r="D887" s="157"/>
      <c r="E887" s="157"/>
      <c r="F887" s="157"/>
      <c r="G887" s="157"/>
      <c r="H887" s="157"/>
      <c r="I887" s="157"/>
      <c r="J887" s="157"/>
      <c r="K887" s="157"/>
      <c r="L887" s="157"/>
      <c r="M887" s="157"/>
    </row>
    <row r="888" spans="2:13" ht="15">
      <c r="B888" s="394"/>
      <c r="C888" s="157"/>
      <c r="D888" s="157"/>
      <c r="E888" s="157"/>
      <c r="F888" s="157"/>
      <c r="G888" s="157"/>
      <c r="H888" s="157"/>
      <c r="I888" s="157"/>
      <c r="J888" s="157"/>
      <c r="K888" s="157"/>
      <c r="L888" s="157"/>
      <c r="M888" s="157"/>
    </row>
    <row r="889" spans="2:13" ht="15">
      <c r="B889" s="394"/>
      <c r="C889" s="157"/>
      <c r="D889" s="157"/>
      <c r="E889" s="157"/>
      <c r="F889" s="157"/>
      <c r="G889" s="157"/>
      <c r="H889" s="157"/>
      <c r="I889" s="157"/>
      <c r="J889" s="157"/>
      <c r="K889" s="157"/>
      <c r="L889" s="157"/>
      <c r="M889" s="157"/>
    </row>
    <row r="890" spans="2:13" ht="15">
      <c r="B890" s="394"/>
      <c r="C890" s="157"/>
      <c r="D890" s="157"/>
      <c r="E890" s="157"/>
      <c r="F890" s="157"/>
      <c r="G890" s="157"/>
      <c r="H890" s="157"/>
      <c r="I890" s="157"/>
      <c r="J890" s="157"/>
      <c r="K890" s="157"/>
      <c r="L890" s="157"/>
      <c r="M890" s="157"/>
    </row>
    <row r="891" spans="2:13" ht="15">
      <c r="B891" s="394"/>
      <c r="C891" s="157"/>
      <c r="D891" s="157"/>
      <c r="E891" s="157"/>
      <c r="F891" s="157"/>
      <c r="G891" s="157"/>
      <c r="H891" s="157"/>
      <c r="I891" s="157"/>
      <c r="J891" s="157"/>
      <c r="K891" s="157"/>
      <c r="L891" s="157"/>
      <c r="M891" s="157"/>
    </row>
    <row r="892" spans="2:13" ht="15">
      <c r="B892" s="394"/>
      <c r="C892" s="157"/>
      <c r="D892" s="157"/>
      <c r="E892" s="157"/>
      <c r="F892" s="157"/>
      <c r="G892" s="157"/>
      <c r="H892" s="157"/>
      <c r="I892" s="157"/>
      <c r="J892" s="157"/>
      <c r="K892" s="157"/>
      <c r="L892" s="157"/>
      <c r="M892" s="157"/>
    </row>
    <row r="893" spans="2:13" ht="15">
      <c r="B893" s="394"/>
      <c r="C893" s="157"/>
      <c r="D893" s="157"/>
      <c r="E893" s="157"/>
      <c r="F893" s="157"/>
      <c r="G893" s="157"/>
      <c r="H893" s="157"/>
      <c r="I893" s="157"/>
      <c r="J893" s="157"/>
      <c r="K893" s="157"/>
      <c r="L893" s="157"/>
      <c r="M893" s="157"/>
    </row>
    <row r="894" spans="2:13" ht="15">
      <c r="B894" s="394"/>
      <c r="C894" s="157"/>
      <c r="D894" s="157"/>
      <c r="E894" s="157"/>
      <c r="F894" s="157"/>
      <c r="G894" s="157"/>
      <c r="H894" s="157"/>
      <c r="I894" s="157"/>
      <c r="J894" s="157"/>
      <c r="K894" s="157"/>
      <c r="L894" s="157"/>
      <c r="M894" s="157"/>
    </row>
    <row r="895" spans="2:13" ht="15">
      <c r="B895" s="394"/>
      <c r="C895" s="157"/>
      <c r="D895" s="157"/>
      <c r="E895" s="157"/>
      <c r="F895" s="157"/>
      <c r="G895" s="157"/>
      <c r="H895" s="157"/>
      <c r="I895" s="157"/>
      <c r="J895" s="157"/>
      <c r="K895" s="157"/>
      <c r="L895" s="157"/>
      <c r="M895" s="157"/>
    </row>
    <row r="896" spans="2:13" ht="15">
      <c r="B896" s="394"/>
      <c r="C896" s="157"/>
      <c r="D896" s="157"/>
      <c r="E896" s="157"/>
      <c r="F896" s="157"/>
      <c r="G896" s="157"/>
      <c r="H896" s="157"/>
      <c r="I896" s="157"/>
      <c r="J896" s="157"/>
      <c r="K896" s="157"/>
      <c r="L896" s="157"/>
      <c r="M896" s="157"/>
    </row>
    <row r="897" spans="2:13" ht="15">
      <c r="B897" s="394"/>
      <c r="C897" s="157"/>
      <c r="D897" s="157"/>
      <c r="E897" s="157"/>
      <c r="F897" s="157"/>
      <c r="G897" s="157"/>
      <c r="H897" s="157"/>
      <c r="I897" s="157"/>
      <c r="J897" s="157"/>
      <c r="K897" s="157"/>
      <c r="L897" s="157"/>
      <c r="M897" s="157"/>
    </row>
    <row r="898" spans="2:13" ht="15">
      <c r="B898" s="394"/>
      <c r="C898" s="157"/>
      <c r="D898" s="157"/>
      <c r="E898" s="157"/>
      <c r="F898" s="157"/>
      <c r="G898" s="157"/>
      <c r="H898" s="157"/>
      <c r="I898" s="157"/>
      <c r="J898" s="157"/>
      <c r="K898" s="157"/>
      <c r="L898" s="157"/>
      <c r="M898" s="157"/>
    </row>
    <row r="899" spans="2:13" ht="15">
      <c r="B899" s="394"/>
      <c r="C899" s="157"/>
      <c r="D899" s="157"/>
      <c r="E899" s="157"/>
      <c r="F899" s="157"/>
      <c r="G899" s="157"/>
      <c r="H899" s="157"/>
      <c r="I899" s="157"/>
      <c r="J899" s="157"/>
      <c r="K899" s="157"/>
      <c r="L899" s="157"/>
      <c r="M899" s="157"/>
    </row>
    <row r="900" spans="2:13" ht="15">
      <c r="B900" s="394"/>
      <c r="C900" s="157"/>
      <c r="D900" s="157"/>
      <c r="E900" s="157"/>
      <c r="F900" s="157"/>
      <c r="G900" s="157"/>
      <c r="H900" s="157"/>
      <c r="I900" s="157"/>
      <c r="J900" s="157"/>
      <c r="K900" s="157"/>
      <c r="L900" s="157"/>
      <c r="M900" s="157"/>
    </row>
    <row r="901" spans="2:13" ht="15">
      <c r="B901" s="394"/>
      <c r="C901" s="157"/>
      <c r="D901" s="157"/>
      <c r="E901" s="157"/>
      <c r="F901" s="157"/>
      <c r="G901" s="157"/>
      <c r="H901" s="157"/>
      <c r="I901" s="157"/>
      <c r="J901" s="157"/>
      <c r="K901" s="157"/>
      <c r="L901" s="157"/>
      <c r="M901" s="157"/>
    </row>
    <row r="902" spans="2:13" ht="15">
      <c r="B902" s="394"/>
      <c r="C902" s="157"/>
      <c r="D902" s="157"/>
      <c r="E902" s="157"/>
      <c r="F902" s="157"/>
      <c r="G902" s="157"/>
      <c r="H902" s="157"/>
      <c r="I902" s="157"/>
      <c r="J902" s="157"/>
      <c r="K902" s="157"/>
      <c r="L902" s="157"/>
      <c r="M902" s="157"/>
    </row>
    <row r="903" spans="2:13" ht="15">
      <c r="B903" s="394"/>
      <c r="C903" s="157"/>
      <c r="D903" s="157"/>
      <c r="E903" s="157"/>
      <c r="F903" s="157"/>
      <c r="G903" s="157"/>
      <c r="H903" s="157"/>
      <c r="I903" s="157"/>
      <c r="J903" s="157"/>
      <c r="K903" s="157"/>
      <c r="L903" s="157"/>
      <c r="M903" s="157"/>
    </row>
    <row r="904" spans="2:13" ht="15">
      <c r="B904" s="394"/>
      <c r="C904" s="157"/>
      <c r="D904" s="157"/>
      <c r="E904" s="157"/>
      <c r="F904" s="157"/>
      <c r="G904" s="157"/>
      <c r="H904" s="157"/>
      <c r="I904" s="157"/>
      <c r="J904" s="157"/>
      <c r="K904" s="157"/>
      <c r="L904" s="157"/>
      <c r="M904" s="157"/>
    </row>
    <row r="905" spans="2:13" ht="15">
      <c r="B905" s="394"/>
      <c r="C905" s="157"/>
      <c r="D905" s="157"/>
      <c r="E905" s="157"/>
      <c r="F905" s="157"/>
      <c r="G905" s="157"/>
      <c r="H905" s="157"/>
      <c r="I905" s="157"/>
      <c r="J905" s="157"/>
      <c r="K905" s="157"/>
      <c r="L905" s="157"/>
      <c r="M905" s="157"/>
    </row>
    <row r="906" spans="2:13" ht="15">
      <c r="B906" s="394"/>
      <c r="C906" s="157"/>
      <c r="D906" s="157"/>
      <c r="E906" s="157"/>
      <c r="F906" s="157"/>
      <c r="G906" s="157"/>
      <c r="H906" s="157"/>
      <c r="I906" s="157"/>
      <c r="J906" s="157"/>
      <c r="K906" s="157"/>
      <c r="L906" s="157"/>
      <c r="M906" s="157"/>
    </row>
    <row r="907" spans="2:13" ht="15">
      <c r="B907" s="394"/>
      <c r="C907" s="157"/>
      <c r="D907" s="157"/>
      <c r="E907" s="157"/>
      <c r="F907" s="157"/>
      <c r="G907" s="157"/>
      <c r="H907" s="157"/>
      <c r="I907" s="157"/>
      <c r="J907" s="157"/>
      <c r="K907" s="157"/>
      <c r="L907" s="157"/>
      <c r="M907" s="157"/>
    </row>
    <row r="908" spans="2:13" ht="15">
      <c r="B908" s="394"/>
      <c r="C908" s="157"/>
      <c r="D908" s="157"/>
      <c r="E908" s="157"/>
      <c r="F908" s="157"/>
      <c r="G908" s="157"/>
      <c r="H908" s="157"/>
      <c r="I908" s="157"/>
      <c r="J908" s="157"/>
      <c r="K908" s="157"/>
      <c r="L908" s="157"/>
      <c r="M908" s="157"/>
    </row>
    <row r="909" spans="2:13" ht="15">
      <c r="B909" s="394"/>
      <c r="C909" s="157"/>
      <c r="D909" s="157"/>
      <c r="E909" s="157"/>
      <c r="F909" s="157"/>
      <c r="G909" s="157"/>
      <c r="H909" s="157"/>
      <c r="I909" s="157"/>
      <c r="J909" s="157"/>
      <c r="K909" s="157"/>
      <c r="L909" s="157"/>
      <c r="M909" s="157"/>
    </row>
    <row r="910" spans="2:13" ht="15">
      <c r="B910" s="394"/>
      <c r="C910" s="157"/>
      <c r="D910" s="157"/>
      <c r="E910" s="157"/>
      <c r="F910" s="157"/>
      <c r="G910" s="157"/>
      <c r="H910" s="157"/>
      <c r="I910" s="157"/>
      <c r="J910" s="157"/>
      <c r="K910" s="157"/>
      <c r="L910" s="157"/>
      <c r="M910" s="157"/>
    </row>
    <row r="911" spans="2:13" ht="15">
      <c r="B911" s="394"/>
      <c r="C911" s="157"/>
      <c r="D911" s="157"/>
      <c r="E911" s="157"/>
      <c r="F911" s="157"/>
      <c r="G911" s="157"/>
      <c r="H911" s="157"/>
      <c r="I911" s="157"/>
      <c r="J911" s="157"/>
      <c r="K911" s="157"/>
      <c r="L911" s="157"/>
      <c r="M911" s="157"/>
    </row>
    <row r="912" spans="2:13" ht="15">
      <c r="B912" s="394"/>
      <c r="C912" s="157"/>
      <c r="D912" s="157"/>
      <c r="E912" s="157"/>
      <c r="F912" s="157"/>
      <c r="G912" s="157"/>
      <c r="H912" s="157"/>
      <c r="I912" s="157"/>
      <c r="J912" s="157"/>
      <c r="K912" s="157"/>
      <c r="L912" s="157"/>
      <c r="M912" s="157"/>
    </row>
    <row r="913" spans="2:13" ht="15">
      <c r="B913" s="394"/>
      <c r="C913" s="157"/>
      <c r="D913" s="157"/>
      <c r="E913" s="157"/>
      <c r="F913" s="157"/>
      <c r="G913" s="157"/>
      <c r="H913" s="157"/>
      <c r="I913" s="157"/>
      <c r="J913" s="157"/>
      <c r="K913" s="157"/>
      <c r="L913" s="157"/>
      <c r="M913" s="157"/>
    </row>
    <row r="914" spans="2:13" ht="15">
      <c r="B914" s="394"/>
      <c r="C914" s="157"/>
      <c r="D914" s="157"/>
      <c r="E914" s="157"/>
      <c r="F914" s="157"/>
      <c r="G914" s="157"/>
      <c r="H914" s="157"/>
      <c r="I914" s="157"/>
      <c r="J914" s="157"/>
      <c r="K914" s="157"/>
      <c r="L914" s="157"/>
      <c r="M914" s="157"/>
    </row>
    <row r="915" spans="2:13" ht="15">
      <c r="B915" s="394"/>
      <c r="C915" s="157"/>
      <c r="D915" s="157"/>
      <c r="E915" s="157"/>
      <c r="F915" s="157"/>
      <c r="G915" s="157"/>
      <c r="H915" s="157"/>
      <c r="I915" s="157"/>
      <c r="J915" s="157"/>
      <c r="K915" s="157"/>
      <c r="L915" s="157"/>
      <c r="M915" s="157"/>
    </row>
    <row r="916" spans="2:13" ht="15">
      <c r="B916" s="394"/>
      <c r="C916" s="157"/>
      <c r="D916" s="157"/>
      <c r="E916" s="157"/>
      <c r="F916" s="157"/>
      <c r="G916" s="157"/>
      <c r="H916" s="157"/>
      <c r="I916" s="157"/>
      <c r="J916" s="157"/>
      <c r="K916" s="157"/>
      <c r="L916" s="157"/>
      <c r="M916" s="157"/>
    </row>
    <row r="917" spans="2:13" ht="15">
      <c r="B917" s="394"/>
      <c r="C917" s="157"/>
      <c r="D917" s="157"/>
      <c r="E917" s="157"/>
      <c r="F917" s="157"/>
      <c r="G917" s="157"/>
      <c r="H917" s="157"/>
      <c r="I917" s="157"/>
      <c r="J917" s="157"/>
      <c r="K917" s="157"/>
      <c r="L917" s="157"/>
      <c r="M917" s="157"/>
    </row>
    <row r="918" spans="2:13" ht="15">
      <c r="B918" s="394"/>
      <c r="C918" s="157"/>
      <c r="D918" s="157"/>
      <c r="E918" s="157"/>
      <c r="F918" s="157"/>
      <c r="G918" s="157"/>
      <c r="H918" s="157"/>
      <c r="I918" s="157"/>
      <c r="J918" s="157"/>
      <c r="K918" s="157"/>
      <c r="L918" s="157"/>
      <c r="M918" s="157"/>
    </row>
    <row r="919" spans="2:13" ht="15">
      <c r="B919" s="394"/>
      <c r="C919" s="157"/>
      <c r="D919" s="157"/>
      <c r="E919" s="157"/>
      <c r="F919" s="157"/>
      <c r="G919" s="157"/>
      <c r="H919" s="157"/>
      <c r="I919" s="157"/>
      <c r="J919" s="157"/>
      <c r="K919" s="157"/>
      <c r="L919" s="157"/>
      <c r="M919" s="157"/>
    </row>
    <row r="920" spans="2:13" ht="15">
      <c r="B920" s="394"/>
      <c r="C920" s="157"/>
      <c r="D920" s="157"/>
      <c r="E920" s="157"/>
      <c r="F920" s="157"/>
      <c r="G920" s="157"/>
      <c r="H920" s="157"/>
      <c r="I920" s="157"/>
      <c r="J920" s="157"/>
      <c r="K920" s="157"/>
      <c r="L920" s="157"/>
      <c r="M920" s="157"/>
    </row>
    <row r="921" spans="2:13" ht="15">
      <c r="B921" s="394"/>
      <c r="C921" s="157"/>
      <c r="D921" s="157"/>
      <c r="E921" s="157"/>
      <c r="F921" s="157"/>
      <c r="G921" s="157"/>
      <c r="H921" s="157"/>
      <c r="I921" s="157"/>
      <c r="J921" s="157"/>
      <c r="K921" s="157"/>
      <c r="L921" s="157"/>
      <c r="M921" s="157"/>
    </row>
    <row r="922" spans="2:13" ht="15">
      <c r="B922" s="394"/>
      <c r="C922" s="157"/>
      <c r="D922" s="157"/>
      <c r="E922" s="157"/>
      <c r="F922" s="157"/>
      <c r="G922" s="157"/>
      <c r="H922" s="157"/>
      <c r="I922" s="157"/>
      <c r="J922" s="157"/>
      <c r="K922" s="157"/>
      <c r="L922" s="157"/>
      <c r="M922" s="157"/>
    </row>
    <row r="923" spans="2:13" ht="15">
      <c r="B923" s="394"/>
      <c r="C923" s="157"/>
      <c r="D923" s="157"/>
      <c r="E923" s="157"/>
      <c r="F923" s="157"/>
      <c r="G923" s="157"/>
      <c r="H923" s="157"/>
      <c r="I923" s="157"/>
      <c r="J923" s="157"/>
      <c r="K923" s="157"/>
      <c r="L923" s="157"/>
      <c r="M923" s="157"/>
    </row>
    <row r="924" spans="2:13" ht="15">
      <c r="B924" s="394"/>
      <c r="C924" s="157"/>
      <c r="D924" s="157"/>
      <c r="E924" s="157"/>
      <c r="F924" s="157"/>
      <c r="G924" s="157"/>
      <c r="H924" s="157"/>
      <c r="I924" s="157"/>
      <c r="J924" s="157"/>
      <c r="K924" s="157"/>
      <c r="L924" s="157"/>
      <c r="M924" s="157"/>
    </row>
    <row r="925" spans="2:13" ht="15">
      <c r="B925" s="394"/>
      <c r="C925" s="157"/>
      <c r="D925" s="157"/>
      <c r="E925" s="157"/>
      <c r="F925" s="157"/>
      <c r="G925" s="157"/>
      <c r="H925" s="157"/>
      <c r="I925" s="157"/>
      <c r="J925" s="157"/>
      <c r="K925" s="157"/>
      <c r="L925" s="157"/>
      <c r="M925" s="157"/>
    </row>
    <row r="926" spans="2:13" ht="15">
      <c r="B926" s="394"/>
      <c r="C926" s="157"/>
      <c r="D926" s="157"/>
      <c r="E926" s="157"/>
      <c r="F926" s="157"/>
      <c r="G926" s="157"/>
      <c r="H926" s="157"/>
      <c r="I926" s="157"/>
      <c r="J926" s="157"/>
      <c r="K926" s="157"/>
      <c r="L926" s="157"/>
      <c r="M926" s="157"/>
    </row>
    <row r="927" spans="2:13" ht="15">
      <c r="B927" s="394"/>
      <c r="C927" s="157"/>
      <c r="D927" s="157"/>
      <c r="E927" s="157"/>
      <c r="F927" s="157"/>
      <c r="G927" s="157"/>
      <c r="H927" s="157"/>
      <c r="I927" s="157"/>
      <c r="J927" s="157"/>
      <c r="K927" s="157"/>
      <c r="L927" s="157"/>
      <c r="M927" s="157"/>
    </row>
    <row r="928" spans="2:13" ht="15">
      <c r="B928" s="394"/>
      <c r="C928" s="157"/>
      <c r="D928" s="157"/>
      <c r="E928" s="157"/>
      <c r="F928" s="157"/>
      <c r="G928" s="157"/>
      <c r="H928" s="157"/>
      <c r="I928" s="157"/>
      <c r="J928" s="157"/>
      <c r="K928" s="157"/>
      <c r="L928" s="157"/>
      <c r="M928" s="157"/>
    </row>
    <row r="929" spans="2:13" ht="15">
      <c r="B929" s="394"/>
      <c r="C929" s="157"/>
      <c r="D929" s="157"/>
      <c r="E929" s="157"/>
      <c r="F929" s="157"/>
      <c r="G929" s="157"/>
      <c r="H929" s="157"/>
      <c r="I929" s="157"/>
      <c r="J929" s="157"/>
      <c r="K929" s="157"/>
      <c r="L929" s="157"/>
      <c r="M929" s="157"/>
    </row>
    <row r="930" spans="2:13" ht="15">
      <c r="B930" s="394"/>
      <c r="C930" s="157"/>
      <c r="D930" s="157"/>
      <c r="E930" s="157"/>
      <c r="F930" s="157"/>
      <c r="G930" s="157"/>
      <c r="H930" s="157"/>
      <c r="I930" s="157"/>
      <c r="J930" s="157"/>
      <c r="K930" s="157"/>
      <c r="L930" s="157"/>
      <c r="M930" s="157"/>
    </row>
    <row r="931" spans="2:13" ht="15">
      <c r="B931" s="394"/>
      <c r="C931" s="157"/>
      <c r="D931" s="157"/>
      <c r="E931" s="157"/>
      <c r="F931" s="157"/>
      <c r="G931" s="157"/>
      <c r="H931" s="157"/>
      <c r="I931" s="157"/>
      <c r="J931" s="157"/>
      <c r="K931" s="157"/>
      <c r="L931" s="157"/>
      <c r="M931" s="157"/>
    </row>
    <row r="932" spans="2:13" ht="15">
      <c r="B932" s="394"/>
      <c r="C932" s="157"/>
      <c r="D932" s="157"/>
      <c r="E932" s="157"/>
      <c r="F932" s="157"/>
      <c r="G932" s="157"/>
      <c r="H932" s="157"/>
      <c r="I932" s="157"/>
      <c r="J932" s="157"/>
      <c r="K932" s="157"/>
      <c r="L932" s="157"/>
      <c r="M932" s="157"/>
    </row>
    <row r="933" spans="2:13" ht="15">
      <c r="B933" s="394"/>
      <c r="C933" s="157"/>
      <c r="D933" s="157"/>
      <c r="E933" s="157"/>
      <c r="F933" s="157"/>
      <c r="G933" s="157"/>
      <c r="H933" s="157"/>
      <c r="I933" s="157"/>
      <c r="J933" s="157"/>
      <c r="K933" s="157"/>
      <c r="L933" s="157"/>
      <c r="M933" s="157"/>
    </row>
    <row r="934" spans="2:13" ht="15">
      <c r="B934" s="394"/>
      <c r="C934" s="157"/>
      <c r="D934" s="157"/>
      <c r="E934" s="157"/>
      <c r="F934" s="157"/>
      <c r="G934" s="157"/>
      <c r="H934" s="157"/>
      <c r="I934" s="157"/>
      <c r="J934" s="157"/>
      <c r="K934" s="157"/>
      <c r="L934" s="157"/>
      <c r="M934" s="157"/>
    </row>
    <row r="935" spans="2:13" ht="15">
      <c r="B935" s="394"/>
      <c r="C935" s="157"/>
      <c r="D935" s="157"/>
      <c r="E935" s="157"/>
      <c r="F935" s="157"/>
      <c r="G935" s="157"/>
      <c r="H935" s="157"/>
      <c r="I935" s="157"/>
      <c r="J935" s="157"/>
      <c r="K935" s="157"/>
      <c r="L935" s="157"/>
      <c r="M935" s="157"/>
    </row>
    <row r="936" spans="2:13" ht="15">
      <c r="B936" s="394"/>
      <c r="C936" s="157"/>
      <c r="D936" s="157"/>
      <c r="E936" s="157"/>
      <c r="F936" s="157"/>
      <c r="G936" s="157"/>
      <c r="H936" s="157"/>
      <c r="I936" s="157"/>
      <c r="J936" s="157"/>
      <c r="K936" s="157"/>
      <c r="L936" s="157"/>
      <c r="M936" s="157"/>
    </row>
    <row r="937" spans="2:13" ht="15">
      <c r="B937" s="394"/>
      <c r="C937" s="157"/>
      <c r="D937" s="157"/>
      <c r="E937" s="157"/>
      <c r="F937" s="157"/>
      <c r="G937" s="157"/>
      <c r="H937" s="157"/>
      <c r="I937" s="157"/>
      <c r="J937" s="157"/>
      <c r="K937" s="157"/>
      <c r="L937" s="157"/>
      <c r="M937" s="157"/>
    </row>
    <row r="938" spans="2:13" ht="15">
      <c r="B938" s="394"/>
      <c r="C938" s="157"/>
      <c r="D938" s="157"/>
      <c r="E938" s="157"/>
      <c r="F938" s="157"/>
      <c r="G938" s="157"/>
      <c r="H938" s="157"/>
      <c r="I938" s="157"/>
      <c r="J938" s="157"/>
      <c r="K938" s="157"/>
      <c r="L938" s="157"/>
      <c r="M938" s="157"/>
    </row>
    <row r="939" spans="2:13" ht="15">
      <c r="B939" s="394"/>
      <c r="C939" s="157"/>
      <c r="D939" s="157"/>
      <c r="E939" s="157"/>
      <c r="F939" s="157"/>
      <c r="G939" s="157"/>
      <c r="H939" s="157"/>
      <c r="I939" s="157"/>
      <c r="J939" s="157"/>
      <c r="K939" s="157"/>
      <c r="L939" s="157"/>
      <c r="M939" s="157"/>
    </row>
    <row r="940" spans="2:13" ht="15">
      <c r="B940" s="394"/>
      <c r="C940" s="157"/>
      <c r="D940" s="157"/>
      <c r="E940" s="157"/>
      <c r="F940" s="157"/>
      <c r="G940" s="157"/>
      <c r="H940" s="157"/>
      <c r="I940" s="157"/>
      <c r="J940" s="157"/>
      <c r="K940" s="157"/>
      <c r="L940" s="157"/>
      <c r="M940" s="157"/>
    </row>
    <row r="941" spans="2:13" ht="15">
      <c r="B941" s="394"/>
      <c r="C941" s="157"/>
      <c r="D941" s="157"/>
      <c r="E941" s="157"/>
      <c r="F941" s="157"/>
      <c r="G941" s="157"/>
      <c r="H941" s="157"/>
      <c r="I941" s="157"/>
      <c r="J941" s="157"/>
      <c r="K941" s="157"/>
      <c r="L941" s="157"/>
      <c r="M941" s="157"/>
    </row>
    <row r="942" spans="2:13" ht="15">
      <c r="B942" s="394"/>
      <c r="C942" s="157"/>
      <c r="D942" s="157"/>
      <c r="E942" s="157"/>
      <c r="F942" s="157"/>
      <c r="G942" s="157"/>
      <c r="H942" s="157"/>
      <c r="I942" s="157"/>
      <c r="J942" s="157"/>
      <c r="K942" s="157"/>
      <c r="L942" s="157"/>
      <c r="M942" s="157"/>
    </row>
    <row r="943" spans="2:13" ht="15">
      <c r="B943" s="394"/>
      <c r="C943" s="157"/>
      <c r="D943" s="157"/>
      <c r="E943" s="157"/>
      <c r="F943" s="157"/>
      <c r="G943" s="157"/>
      <c r="H943" s="157"/>
      <c r="I943" s="157"/>
      <c r="J943" s="157"/>
      <c r="K943" s="157"/>
      <c r="L943" s="157"/>
      <c r="M943" s="157"/>
    </row>
    <row r="944" spans="2:13" ht="15">
      <c r="B944" s="394"/>
      <c r="C944" s="157"/>
      <c r="D944" s="157"/>
      <c r="E944" s="157"/>
      <c r="F944" s="157"/>
      <c r="G944" s="157"/>
      <c r="H944" s="157"/>
      <c r="I944" s="157"/>
      <c r="J944" s="157"/>
      <c r="K944" s="157"/>
      <c r="L944" s="157"/>
      <c r="M944" s="157"/>
    </row>
    <row r="945" spans="2:13" ht="15">
      <c r="B945" s="394"/>
      <c r="C945" s="157"/>
      <c r="D945" s="157"/>
      <c r="E945" s="157"/>
      <c r="F945" s="157"/>
      <c r="G945" s="157"/>
      <c r="H945" s="157"/>
      <c r="I945" s="157"/>
      <c r="J945" s="157"/>
      <c r="K945" s="157"/>
      <c r="L945" s="157"/>
      <c r="M945" s="157"/>
    </row>
    <row r="946" spans="2:13" ht="15">
      <c r="B946" s="394"/>
      <c r="C946" s="157"/>
      <c r="D946" s="157"/>
      <c r="E946" s="157"/>
      <c r="F946" s="157"/>
      <c r="G946" s="157"/>
      <c r="H946" s="157"/>
      <c r="I946" s="157"/>
      <c r="J946" s="157"/>
      <c r="K946" s="157"/>
      <c r="L946" s="157"/>
      <c r="M946" s="157"/>
    </row>
    <row r="947" spans="2:13" ht="15">
      <c r="B947" s="394"/>
      <c r="C947" s="157"/>
      <c r="D947" s="157"/>
      <c r="E947" s="157"/>
      <c r="F947" s="157"/>
      <c r="G947" s="157"/>
      <c r="H947" s="157"/>
      <c r="I947" s="157"/>
      <c r="J947" s="157"/>
      <c r="K947" s="157"/>
      <c r="L947" s="157"/>
      <c r="M947" s="157"/>
    </row>
    <row r="948" spans="2:13" ht="15">
      <c r="B948" s="394"/>
      <c r="C948" s="157"/>
      <c r="D948" s="157"/>
      <c r="E948" s="157"/>
      <c r="F948" s="157"/>
      <c r="G948" s="157"/>
      <c r="H948" s="157"/>
      <c r="I948" s="157"/>
      <c r="J948" s="157"/>
      <c r="K948" s="157"/>
      <c r="L948" s="157"/>
      <c r="M948" s="157"/>
    </row>
    <row r="949" spans="2:13" ht="15">
      <c r="B949" s="394"/>
      <c r="C949" s="157"/>
      <c r="D949" s="157"/>
      <c r="E949" s="157"/>
      <c r="F949" s="157"/>
      <c r="G949" s="157"/>
      <c r="H949" s="157"/>
      <c r="I949" s="157"/>
      <c r="J949" s="157"/>
      <c r="K949" s="157"/>
      <c r="L949" s="157"/>
      <c r="M949" s="157"/>
    </row>
    <row r="950" spans="2:13" ht="15">
      <c r="B950" s="394"/>
      <c r="C950" s="157"/>
      <c r="D950" s="157"/>
      <c r="E950" s="157"/>
      <c r="F950" s="157"/>
      <c r="G950" s="157"/>
      <c r="H950" s="157"/>
      <c r="I950" s="157"/>
      <c r="J950" s="157"/>
      <c r="K950" s="157"/>
      <c r="L950" s="157"/>
      <c r="M950" s="157"/>
    </row>
    <row r="951" spans="2:13" ht="15">
      <c r="B951" s="394"/>
      <c r="C951" s="157"/>
      <c r="D951" s="157"/>
      <c r="E951" s="157"/>
      <c r="F951" s="157"/>
      <c r="G951" s="157"/>
      <c r="H951" s="157"/>
      <c r="I951" s="157"/>
      <c r="J951" s="157"/>
      <c r="K951" s="157"/>
      <c r="L951" s="157"/>
      <c r="M951" s="157"/>
    </row>
    <row r="952" spans="2:13" ht="15">
      <c r="B952" s="394"/>
      <c r="C952" s="157"/>
      <c r="D952" s="157"/>
      <c r="E952" s="157"/>
      <c r="F952" s="157"/>
      <c r="G952" s="157"/>
      <c r="H952" s="157"/>
      <c r="I952" s="157"/>
      <c r="J952" s="157"/>
      <c r="K952" s="157"/>
      <c r="L952" s="157"/>
      <c r="M952" s="157"/>
    </row>
    <row r="953" spans="2:13" ht="15">
      <c r="B953" s="394"/>
      <c r="C953" s="157"/>
      <c r="D953" s="157"/>
      <c r="E953" s="157"/>
      <c r="F953" s="157"/>
      <c r="G953" s="157"/>
      <c r="H953" s="157"/>
      <c r="I953" s="157"/>
      <c r="J953" s="157"/>
      <c r="K953" s="157"/>
      <c r="L953" s="157"/>
      <c r="M953" s="157"/>
    </row>
    <row r="954" spans="2:13" ht="15">
      <c r="B954" s="394"/>
      <c r="C954" s="157"/>
      <c r="D954" s="157"/>
      <c r="E954" s="157"/>
      <c r="F954" s="157"/>
      <c r="G954" s="157"/>
      <c r="H954" s="157"/>
      <c r="I954" s="157"/>
      <c r="J954" s="157"/>
      <c r="K954" s="157"/>
      <c r="L954" s="157"/>
      <c r="M954" s="157"/>
    </row>
    <row r="955" spans="2:13" ht="15">
      <c r="B955" s="394"/>
      <c r="C955" s="157"/>
      <c r="D955" s="157"/>
      <c r="E955" s="157"/>
      <c r="F955" s="157"/>
      <c r="G955" s="157"/>
      <c r="H955" s="157"/>
      <c r="I955" s="157"/>
      <c r="J955" s="157"/>
      <c r="K955" s="157"/>
      <c r="L955" s="157"/>
      <c r="M955" s="157"/>
    </row>
    <row r="956" spans="2:13" ht="15">
      <c r="B956" s="394"/>
      <c r="C956" s="157"/>
      <c r="D956" s="157"/>
      <c r="E956" s="157"/>
      <c r="F956" s="157"/>
      <c r="G956" s="157"/>
      <c r="H956" s="157"/>
      <c r="I956" s="157"/>
      <c r="J956" s="157"/>
      <c r="K956" s="157"/>
      <c r="L956" s="157"/>
      <c r="M956" s="157"/>
    </row>
    <row r="957" spans="2:13" ht="15">
      <c r="B957" s="394"/>
      <c r="C957" s="157"/>
      <c r="D957" s="157"/>
      <c r="E957" s="157"/>
      <c r="F957" s="157"/>
      <c r="G957" s="157"/>
      <c r="H957" s="157"/>
      <c r="I957" s="157"/>
      <c r="J957" s="157"/>
      <c r="K957" s="157"/>
      <c r="L957" s="157"/>
      <c r="M957" s="157"/>
    </row>
    <row r="958" spans="2:13" ht="15">
      <c r="B958" s="394"/>
      <c r="C958" s="157"/>
      <c r="D958" s="157"/>
      <c r="E958" s="157"/>
      <c r="F958" s="157"/>
      <c r="G958" s="157"/>
      <c r="H958" s="157"/>
      <c r="I958" s="157"/>
      <c r="J958" s="157"/>
      <c r="K958" s="157"/>
      <c r="L958" s="157"/>
      <c r="M958" s="157"/>
    </row>
    <row r="959" spans="2:13" ht="15">
      <c r="B959" s="394"/>
      <c r="C959" s="157"/>
      <c r="D959" s="157"/>
      <c r="E959" s="157"/>
      <c r="F959" s="157"/>
      <c r="G959" s="157"/>
      <c r="H959" s="157"/>
      <c r="I959" s="157"/>
      <c r="J959" s="157"/>
      <c r="K959" s="157"/>
      <c r="L959" s="157"/>
      <c r="M959" s="157"/>
    </row>
    <row r="960" spans="2:13" ht="15">
      <c r="B960" s="394"/>
      <c r="C960" s="157"/>
      <c r="D960" s="157"/>
      <c r="E960" s="157"/>
      <c r="F960" s="157"/>
      <c r="G960" s="157"/>
      <c r="H960" s="157"/>
      <c r="I960" s="157"/>
      <c r="J960" s="157"/>
      <c r="K960" s="157"/>
      <c r="L960" s="157"/>
      <c r="M960" s="157"/>
    </row>
    <row r="961" spans="2:13" ht="15">
      <c r="B961" s="394"/>
      <c r="C961" s="157"/>
      <c r="D961" s="157"/>
      <c r="E961" s="157"/>
      <c r="F961" s="157"/>
      <c r="G961" s="157"/>
      <c r="H961" s="157"/>
      <c r="I961" s="157"/>
      <c r="J961" s="157"/>
      <c r="K961" s="157"/>
      <c r="L961" s="157"/>
      <c r="M961" s="157"/>
    </row>
    <row r="962" spans="2:13" ht="15">
      <c r="B962" s="394"/>
      <c r="C962" s="157"/>
      <c r="D962" s="157"/>
      <c r="E962" s="157"/>
      <c r="F962" s="157"/>
      <c r="G962" s="157"/>
      <c r="H962" s="157"/>
      <c r="I962" s="157"/>
      <c r="J962" s="157"/>
      <c r="K962" s="157"/>
      <c r="L962" s="157"/>
      <c r="M962" s="157"/>
    </row>
    <row r="963" spans="2:13" ht="15">
      <c r="B963" s="394"/>
      <c r="C963" s="157"/>
      <c r="D963" s="157"/>
      <c r="E963" s="157"/>
      <c r="F963" s="157"/>
      <c r="G963" s="157"/>
      <c r="H963" s="157"/>
      <c r="I963" s="157"/>
      <c r="J963" s="157"/>
      <c r="K963" s="157"/>
      <c r="L963" s="157"/>
      <c r="M963" s="157"/>
    </row>
    <row r="964" spans="2:13" ht="15">
      <c r="B964" s="394"/>
      <c r="C964" s="157"/>
      <c r="D964" s="157"/>
      <c r="E964" s="157"/>
      <c r="F964" s="157"/>
      <c r="G964" s="157"/>
      <c r="H964" s="157"/>
      <c r="I964" s="157"/>
      <c r="J964" s="157"/>
      <c r="K964" s="157"/>
      <c r="L964" s="157"/>
      <c r="M964" s="157"/>
    </row>
    <row r="965" spans="2:13" ht="15">
      <c r="B965" s="394"/>
      <c r="C965" s="157"/>
      <c r="D965" s="157"/>
      <c r="E965" s="157"/>
      <c r="F965" s="157"/>
      <c r="G965" s="157"/>
      <c r="H965" s="157"/>
      <c r="I965" s="157"/>
      <c r="J965" s="157"/>
      <c r="K965" s="157"/>
      <c r="L965" s="157"/>
      <c r="M965" s="157"/>
    </row>
    <row r="966" spans="2:13" ht="15">
      <c r="B966" s="394"/>
      <c r="C966" s="157"/>
      <c r="D966" s="157"/>
      <c r="E966" s="157"/>
      <c r="F966" s="157"/>
      <c r="G966" s="157"/>
      <c r="H966" s="157"/>
      <c r="I966" s="157"/>
      <c r="J966" s="157"/>
      <c r="K966" s="157"/>
      <c r="L966" s="157"/>
      <c r="M966" s="157"/>
    </row>
    <row r="967" spans="2:13" ht="15">
      <c r="B967" s="394"/>
      <c r="C967" s="157"/>
      <c r="D967" s="157"/>
      <c r="E967" s="157"/>
      <c r="F967" s="157"/>
      <c r="G967" s="157"/>
      <c r="H967" s="157"/>
      <c r="I967" s="157"/>
      <c r="J967" s="157"/>
      <c r="K967" s="157"/>
      <c r="L967" s="157"/>
      <c r="M967" s="157"/>
    </row>
    <row r="968" spans="2:13" ht="15">
      <c r="B968" s="394"/>
      <c r="C968" s="157"/>
      <c r="D968" s="157"/>
      <c r="E968" s="157"/>
      <c r="F968" s="157"/>
      <c r="G968" s="157"/>
      <c r="H968" s="157"/>
      <c r="I968" s="157"/>
      <c r="J968" s="157"/>
      <c r="K968" s="157"/>
      <c r="L968" s="157"/>
      <c r="M968" s="157"/>
    </row>
    <row r="969" spans="2:13" ht="15">
      <c r="B969" s="394"/>
      <c r="C969" s="157"/>
      <c r="D969" s="157"/>
      <c r="E969" s="157"/>
      <c r="F969" s="157"/>
      <c r="G969" s="157"/>
      <c r="H969" s="157"/>
      <c r="I969" s="157"/>
      <c r="J969" s="157"/>
      <c r="K969" s="157"/>
      <c r="L969" s="157"/>
      <c r="M969" s="157"/>
    </row>
    <row r="970" spans="2:13" ht="15">
      <c r="B970" s="394"/>
      <c r="C970" s="157"/>
      <c r="D970" s="157"/>
      <c r="E970" s="157"/>
      <c r="F970" s="157"/>
      <c r="G970" s="157"/>
      <c r="H970" s="157"/>
      <c r="I970" s="157"/>
      <c r="J970" s="157"/>
      <c r="K970" s="157"/>
      <c r="L970" s="157"/>
      <c r="M970" s="157"/>
    </row>
    <row r="971" spans="2:13" ht="15">
      <c r="B971" s="394"/>
      <c r="C971" s="157"/>
      <c r="D971" s="157"/>
      <c r="E971" s="157"/>
      <c r="F971" s="157"/>
      <c r="G971" s="157"/>
      <c r="H971" s="157"/>
      <c r="I971" s="157"/>
      <c r="J971" s="157"/>
      <c r="K971" s="157"/>
      <c r="L971" s="157"/>
      <c r="M971" s="157"/>
    </row>
    <row r="972" spans="2:13" ht="15">
      <c r="B972" s="394"/>
      <c r="C972" s="157"/>
      <c r="D972" s="157"/>
      <c r="E972" s="157"/>
      <c r="F972" s="157"/>
      <c r="G972" s="157"/>
      <c r="H972" s="157"/>
      <c r="I972" s="157"/>
      <c r="J972" s="157"/>
      <c r="K972" s="157"/>
      <c r="L972" s="157"/>
      <c r="M972" s="157"/>
    </row>
    <row r="973" spans="2:13" ht="15">
      <c r="B973" s="394"/>
      <c r="C973" s="157"/>
      <c r="D973" s="157"/>
      <c r="E973" s="157"/>
      <c r="F973" s="157"/>
      <c r="G973" s="157"/>
      <c r="H973" s="157"/>
      <c r="I973" s="157"/>
      <c r="J973" s="157"/>
      <c r="K973" s="157"/>
      <c r="L973" s="157"/>
      <c r="M973" s="157"/>
    </row>
    <row r="974" spans="2:13" ht="15">
      <c r="B974" s="394"/>
      <c r="C974" s="157"/>
      <c r="D974" s="157"/>
      <c r="E974" s="157"/>
      <c r="F974" s="157"/>
      <c r="G974" s="157"/>
      <c r="H974" s="157"/>
      <c r="I974" s="157"/>
      <c r="J974" s="157"/>
      <c r="K974" s="157"/>
      <c r="L974" s="157"/>
      <c r="M974" s="157"/>
    </row>
    <row r="975" spans="2:13" ht="15">
      <c r="B975" s="394"/>
      <c r="C975" s="157"/>
      <c r="D975" s="157"/>
      <c r="E975" s="157"/>
      <c r="F975" s="157"/>
      <c r="G975" s="157"/>
      <c r="H975" s="157"/>
      <c r="I975" s="157"/>
      <c r="J975" s="157"/>
      <c r="K975" s="157"/>
      <c r="L975" s="157"/>
      <c r="M975" s="157"/>
    </row>
    <row r="976" spans="2:13" ht="15">
      <c r="B976" s="394"/>
      <c r="C976" s="157"/>
      <c r="D976" s="157"/>
      <c r="E976" s="157"/>
      <c r="F976" s="157"/>
      <c r="G976" s="157"/>
      <c r="H976" s="157"/>
      <c r="I976" s="157"/>
      <c r="J976" s="157"/>
      <c r="K976" s="157"/>
      <c r="L976" s="157"/>
      <c r="M976" s="157"/>
    </row>
    <row r="977" spans="2:13" ht="15">
      <c r="B977" s="394"/>
      <c r="C977" s="157"/>
      <c r="D977" s="157"/>
      <c r="E977" s="157"/>
      <c r="F977" s="157"/>
      <c r="G977" s="157"/>
      <c r="H977" s="157"/>
      <c r="I977" s="157"/>
      <c r="J977" s="157"/>
      <c r="K977" s="157"/>
      <c r="L977" s="157"/>
      <c r="M977" s="157"/>
    </row>
    <row r="978" spans="2:13" ht="15">
      <c r="B978" s="394"/>
      <c r="C978" s="157"/>
      <c r="D978" s="157"/>
      <c r="E978" s="157"/>
      <c r="F978" s="157"/>
      <c r="G978" s="157"/>
      <c r="H978" s="157"/>
      <c r="I978" s="157"/>
      <c r="J978" s="157"/>
      <c r="K978" s="157"/>
      <c r="L978" s="157"/>
      <c r="M978" s="157"/>
    </row>
    <row r="979" spans="2:13" ht="15">
      <c r="B979" s="394"/>
      <c r="C979" s="157"/>
      <c r="D979" s="157"/>
      <c r="E979" s="157"/>
      <c r="F979" s="157"/>
      <c r="G979" s="157"/>
      <c r="H979" s="157"/>
      <c r="I979" s="157"/>
      <c r="J979" s="157"/>
      <c r="K979" s="157"/>
      <c r="L979" s="157"/>
      <c r="M979" s="157"/>
    </row>
    <row r="980" spans="2:13" ht="15">
      <c r="B980" s="394"/>
      <c r="C980" s="157"/>
      <c r="D980" s="157"/>
      <c r="E980" s="157"/>
      <c r="F980" s="157"/>
      <c r="G980" s="157"/>
      <c r="H980" s="157"/>
      <c r="I980" s="157"/>
      <c r="J980" s="157"/>
      <c r="K980" s="157"/>
      <c r="L980" s="157"/>
      <c r="M980" s="157"/>
    </row>
    <row r="981" spans="2:13" ht="15">
      <c r="B981" s="394"/>
      <c r="C981" s="157"/>
      <c r="D981" s="157"/>
      <c r="E981" s="157"/>
      <c r="F981" s="157"/>
      <c r="G981" s="157"/>
      <c r="H981" s="157"/>
      <c r="I981" s="157"/>
      <c r="J981" s="157"/>
      <c r="K981" s="157"/>
      <c r="L981" s="157"/>
      <c r="M981" s="157"/>
    </row>
    <row r="982" spans="2:13" ht="15">
      <c r="B982" s="394"/>
      <c r="C982" s="157"/>
      <c r="D982" s="157"/>
      <c r="E982" s="157"/>
      <c r="F982" s="157"/>
      <c r="G982" s="157"/>
      <c r="H982" s="157"/>
      <c r="I982" s="157"/>
      <c r="J982" s="157"/>
      <c r="K982" s="157"/>
      <c r="L982" s="157"/>
      <c r="M982" s="157"/>
    </row>
    <row r="983" spans="2:13" ht="15">
      <c r="B983" s="394"/>
      <c r="C983" s="157"/>
      <c r="D983" s="157"/>
      <c r="E983" s="157"/>
      <c r="F983" s="157"/>
      <c r="G983" s="157"/>
      <c r="H983" s="157"/>
      <c r="I983" s="157"/>
      <c r="J983" s="157"/>
      <c r="K983" s="157"/>
      <c r="L983" s="157"/>
      <c r="M983" s="157"/>
    </row>
    <row r="984" spans="2:13" ht="15">
      <c r="B984" s="394"/>
      <c r="C984" s="157"/>
      <c r="D984" s="157"/>
      <c r="E984" s="157"/>
      <c r="F984" s="157"/>
      <c r="G984" s="157"/>
      <c r="H984" s="157"/>
      <c r="I984" s="157"/>
      <c r="J984" s="157"/>
      <c r="K984" s="157"/>
      <c r="L984" s="157"/>
      <c r="M984" s="157"/>
    </row>
    <row r="985" spans="2:13" ht="15">
      <c r="B985" s="394"/>
      <c r="C985" s="157"/>
      <c r="D985" s="157"/>
      <c r="E985" s="157"/>
      <c r="F985" s="157"/>
      <c r="G985" s="157"/>
      <c r="H985" s="157"/>
      <c r="I985" s="157"/>
      <c r="J985" s="157"/>
      <c r="K985" s="157"/>
      <c r="L985" s="157"/>
      <c r="M985" s="157"/>
    </row>
    <row r="986" spans="2:13" ht="15">
      <c r="B986" s="394"/>
      <c r="C986" s="157"/>
      <c r="D986" s="157"/>
      <c r="E986" s="157"/>
      <c r="F986" s="157"/>
      <c r="G986" s="157"/>
      <c r="H986" s="157"/>
      <c r="I986" s="157"/>
      <c r="J986" s="157"/>
      <c r="K986" s="157"/>
      <c r="L986" s="157"/>
      <c r="M986" s="157"/>
    </row>
    <row r="987" spans="2:13" ht="15">
      <c r="B987" s="394"/>
      <c r="C987" s="157"/>
      <c r="D987" s="157"/>
      <c r="E987" s="157"/>
      <c r="F987" s="157"/>
      <c r="G987" s="157"/>
      <c r="H987" s="157"/>
      <c r="I987" s="157"/>
      <c r="J987" s="157"/>
      <c r="K987" s="157"/>
      <c r="L987" s="157"/>
      <c r="M987" s="157"/>
    </row>
    <row r="988" spans="2:13" ht="15">
      <c r="B988" s="394"/>
      <c r="C988" s="157"/>
      <c r="D988" s="157"/>
      <c r="E988" s="157"/>
      <c r="F988" s="157"/>
      <c r="G988" s="157"/>
      <c r="H988" s="157"/>
      <c r="I988" s="157"/>
      <c r="J988" s="157"/>
      <c r="K988" s="157"/>
      <c r="L988" s="157"/>
      <c r="M988" s="157"/>
    </row>
    <row r="989" spans="2:13" ht="15">
      <c r="B989" s="394"/>
      <c r="C989" s="157"/>
      <c r="D989" s="157"/>
      <c r="E989" s="157"/>
      <c r="F989" s="157"/>
      <c r="G989" s="157"/>
      <c r="H989" s="157"/>
      <c r="I989" s="157"/>
      <c r="J989" s="157"/>
      <c r="K989" s="157"/>
      <c r="L989" s="157"/>
      <c r="M989" s="157"/>
    </row>
    <row r="990" spans="2:13" ht="15">
      <c r="B990" s="394"/>
      <c r="C990" s="157"/>
      <c r="D990" s="157"/>
      <c r="E990" s="157"/>
      <c r="F990" s="157"/>
      <c r="G990" s="157"/>
      <c r="H990" s="157"/>
      <c r="I990" s="157"/>
      <c r="J990" s="157"/>
      <c r="K990" s="157"/>
      <c r="L990" s="157"/>
      <c r="M990" s="157"/>
    </row>
    <row r="991" spans="2:13" ht="15">
      <c r="B991" s="394"/>
      <c r="C991" s="157"/>
      <c r="D991" s="157"/>
      <c r="E991" s="157"/>
      <c r="F991" s="157"/>
      <c r="G991" s="157"/>
      <c r="H991" s="157"/>
      <c r="I991" s="157"/>
      <c r="J991" s="157"/>
      <c r="K991" s="157"/>
      <c r="L991" s="157"/>
      <c r="M991" s="157"/>
    </row>
    <row r="992" spans="2:13" ht="15">
      <c r="B992" s="394"/>
      <c r="C992" s="157"/>
      <c r="D992" s="157"/>
      <c r="E992" s="157"/>
      <c r="F992" s="157"/>
      <c r="G992" s="157"/>
      <c r="H992" s="157"/>
      <c r="I992" s="157"/>
      <c r="J992" s="157"/>
      <c r="K992" s="157"/>
      <c r="L992" s="157"/>
      <c r="M992" s="157"/>
    </row>
    <row r="993" spans="2:13" ht="15">
      <c r="B993" s="394"/>
      <c r="C993" s="157"/>
      <c r="D993" s="157"/>
      <c r="E993" s="157"/>
      <c r="F993" s="157"/>
      <c r="G993" s="157"/>
      <c r="H993" s="157"/>
      <c r="I993" s="157"/>
      <c r="J993" s="157"/>
      <c r="K993" s="157"/>
      <c r="L993" s="157"/>
      <c r="M993" s="157"/>
    </row>
    <row r="994" spans="2:13" ht="15">
      <c r="B994" s="394"/>
      <c r="C994" s="157"/>
      <c r="D994" s="157"/>
      <c r="E994" s="157"/>
      <c r="F994" s="157"/>
      <c r="G994" s="157"/>
      <c r="H994" s="157"/>
      <c r="I994" s="157"/>
      <c r="J994" s="157"/>
      <c r="K994" s="157"/>
      <c r="L994" s="157"/>
      <c r="M994" s="157"/>
    </row>
    <row r="995" spans="2:13" ht="15">
      <c r="B995" s="394"/>
      <c r="C995" s="157"/>
      <c r="D995" s="157"/>
      <c r="E995" s="157"/>
      <c r="F995" s="157"/>
      <c r="G995" s="157"/>
      <c r="H995" s="157"/>
      <c r="I995" s="157"/>
      <c r="J995" s="157"/>
      <c r="K995" s="157"/>
      <c r="L995" s="157"/>
      <c r="M995" s="157"/>
    </row>
    <row r="996" spans="2:13" ht="15">
      <c r="B996" s="394"/>
      <c r="C996" s="157"/>
      <c r="D996" s="157"/>
      <c r="E996" s="157"/>
      <c r="F996" s="157"/>
      <c r="G996" s="157"/>
      <c r="H996" s="157"/>
      <c r="I996" s="157"/>
      <c r="J996" s="157"/>
      <c r="K996" s="157"/>
      <c r="L996" s="157"/>
      <c r="M996" s="157"/>
    </row>
    <row r="997" spans="2:13" ht="15">
      <c r="B997" s="394"/>
      <c r="C997" s="157"/>
      <c r="D997" s="157"/>
      <c r="E997" s="157"/>
      <c r="F997" s="157"/>
      <c r="G997" s="157"/>
      <c r="H997" s="157"/>
      <c r="I997" s="157"/>
      <c r="J997" s="157"/>
      <c r="K997" s="157"/>
      <c r="L997" s="157"/>
      <c r="M997" s="157"/>
    </row>
    <row r="998" spans="2:13" ht="15">
      <c r="B998" s="394"/>
      <c r="C998" s="157"/>
      <c r="D998" s="157"/>
      <c r="E998" s="157"/>
      <c r="F998" s="157"/>
      <c r="G998" s="157"/>
      <c r="H998" s="157"/>
      <c r="I998" s="157"/>
      <c r="J998" s="157"/>
      <c r="K998" s="157"/>
      <c r="L998" s="157"/>
      <c r="M998" s="157"/>
    </row>
    <row r="999" spans="2:13" ht="15">
      <c r="B999" s="394"/>
      <c r="C999" s="157"/>
      <c r="D999" s="157"/>
      <c r="E999" s="157"/>
      <c r="F999" s="157"/>
      <c r="G999" s="157"/>
      <c r="H999" s="157"/>
      <c r="I999" s="157"/>
      <c r="J999" s="157"/>
      <c r="K999" s="157"/>
      <c r="L999" s="157"/>
      <c r="M999" s="157"/>
    </row>
    <row r="1000" spans="2:13" ht="15">
      <c r="B1000" s="394"/>
      <c r="C1000" s="157"/>
      <c r="D1000" s="157"/>
      <c r="E1000" s="157"/>
      <c r="F1000" s="157"/>
      <c r="G1000" s="157"/>
      <c r="H1000" s="157"/>
      <c r="I1000" s="157"/>
      <c r="J1000" s="157"/>
      <c r="K1000" s="157"/>
      <c r="L1000" s="157"/>
      <c r="M1000" s="157"/>
    </row>
    <row r="1001" spans="2:13" ht="15">
      <c r="B1001" s="394"/>
      <c r="C1001" s="157"/>
      <c r="D1001" s="157"/>
      <c r="E1001" s="157"/>
      <c r="F1001" s="157"/>
      <c r="G1001" s="157"/>
      <c r="H1001" s="157"/>
      <c r="I1001" s="157"/>
      <c r="J1001" s="157"/>
      <c r="K1001" s="157"/>
      <c r="L1001" s="157"/>
      <c r="M1001" s="157"/>
    </row>
    <row r="1002" spans="2:13" ht="15">
      <c r="B1002" s="394"/>
      <c r="C1002" s="157"/>
      <c r="D1002" s="157"/>
      <c r="E1002" s="157"/>
      <c r="F1002" s="157"/>
      <c r="G1002" s="157"/>
      <c r="H1002" s="157"/>
      <c r="I1002" s="157"/>
      <c r="J1002" s="157"/>
      <c r="K1002" s="157"/>
      <c r="L1002" s="157"/>
      <c r="M1002" s="157"/>
    </row>
    <row r="1003" spans="2:13" ht="15">
      <c r="B1003" s="394"/>
      <c r="C1003" s="157"/>
      <c r="D1003" s="157"/>
      <c r="E1003" s="157"/>
      <c r="F1003" s="157"/>
      <c r="G1003" s="157"/>
      <c r="H1003" s="157"/>
      <c r="I1003" s="157"/>
      <c r="J1003" s="157"/>
      <c r="K1003" s="157"/>
      <c r="L1003" s="157"/>
      <c r="M1003" s="157"/>
    </row>
    <row r="1004" spans="2:13" ht="15">
      <c r="B1004" s="394"/>
      <c r="C1004" s="157"/>
      <c r="D1004" s="157"/>
      <c r="E1004" s="157"/>
      <c r="F1004" s="157"/>
      <c r="G1004" s="157"/>
      <c r="H1004" s="157"/>
      <c r="I1004" s="157"/>
      <c r="J1004" s="157"/>
      <c r="K1004" s="157"/>
      <c r="L1004" s="157"/>
      <c r="M1004" s="157"/>
    </row>
    <row r="1005" spans="2:13" ht="15">
      <c r="B1005" s="394"/>
      <c r="C1005" s="157"/>
      <c r="D1005" s="157"/>
      <c r="E1005" s="157"/>
      <c r="F1005" s="157"/>
      <c r="G1005" s="157"/>
      <c r="H1005" s="157"/>
      <c r="I1005" s="157"/>
      <c r="J1005" s="157"/>
      <c r="K1005" s="157"/>
      <c r="L1005" s="157"/>
      <c r="M1005" s="157"/>
    </row>
    <row r="1006" spans="2:13" ht="15">
      <c r="B1006" s="394"/>
      <c r="C1006" s="157"/>
      <c r="D1006" s="157"/>
      <c r="E1006" s="157"/>
      <c r="F1006" s="157"/>
      <c r="G1006" s="157"/>
      <c r="H1006" s="157"/>
      <c r="I1006" s="157"/>
      <c r="J1006" s="157"/>
      <c r="K1006" s="157"/>
      <c r="L1006" s="157"/>
      <c r="M1006" s="157"/>
    </row>
    <row r="1007" spans="2:13" ht="15">
      <c r="B1007" s="394"/>
      <c r="C1007" s="157"/>
      <c r="D1007" s="157"/>
      <c r="E1007" s="157"/>
      <c r="F1007" s="157"/>
      <c r="G1007" s="157"/>
      <c r="H1007" s="157"/>
      <c r="I1007" s="157"/>
      <c r="J1007" s="157"/>
      <c r="K1007" s="157"/>
      <c r="L1007" s="157"/>
      <c r="M1007" s="157"/>
    </row>
    <row r="1008" spans="2:13" ht="15">
      <c r="B1008" s="394"/>
      <c r="C1008" s="157"/>
      <c r="D1008" s="157"/>
      <c r="E1008" s="157"/>
      <c r="F1008" s="157"/>
      <c r="G1008" s="157"/>
      <c r="H1008" s="157"/>
      <c r="I1008" s="157"/>
      <c r="J1008" s="157"/>
      <c r="K1008" s="157"/>
      <c r="L1008" s="157"/>
      <c r="M1008" s="157"/>
    </row>
    <row r="1009" spans="2:13" ht="15">
      <c r="B1009" s="394"/>
      <c r="C1009" s="157"/>
      <c r="D1009" s="157"/>
      <c r="E1009" s="157"/>
      <c r="F1009" s="157"/>
      <c r="G1009" s="157"/>
      <c r="H1009" s="157"/>
      <c r="I1009" s="157"/>
      <c r="J1009" s="157"/>
      <c r="K1009" s="157"/>
      <c r="L1009" s="157"/>
      <c r="M1009" s="157"/>
    </row>
    <row r="1010" spans="2:13" ht="15">
      <c r="B1010" s="394"/>
      <c r="C1010" s="157"/>
      <c r="D1010" s="157"/>
      <c r="E1010" s="157"/>
      <c r="F1010" s="157"/>
      <c r="G1010" s="157"/>
      <c r="H1010" s="157"/>
      <c r="I1010" s="157"/>
      <c r="J1010" s="157"/>
      <c r="K1010" s="157"/>
      <c r="L1010" s="157"/>
      <c r="M1010" s="157"/>
    </row>
    <row r="1011" spans="2:13" ht="15">
      <c r="B1011" s="394"/>
      <c r="C1011" s="157"/>
      <c r="D1011" s="157"/>
      <c r="E1011" s="157"/>
      <c r="F1011" s="157"/>
      <c r="G1011" s="157"/>
      <c r="H1011" s="157"/>
      <c r="I1011" s="157"/>
      <c r="J1011" s="157"/>
      <c r="K1011" s="157"/>
      <c r="L1011" s="157"/>
      <c r="M1011" s="157"/>
    </row>
    <row r="1012" spans="2:13" ht="15">
      <c r="B1012" s="394"/>
      <c r="C1012" s="157"/>
      <c r="D1012" s="157"/>
      <c r="E1012" s="157"/>
      <c r="F1012" s="157"/>
      <c r="G1012" s="157"/>
      <c r="H1012" s="157"/>
      <c r="I1012" s="157"/>
      <c r="J1012" s="157"/>
      <c r="K1012" s="157"/>
      <c r="L1012" s="157"/>
      <c r="M1012" s="157"/>
    </row>
    <row r="1013" spans="2:13" ht="15">
      <c r="B1013" s="394"/>
      <c r="C1013" s="157"/>
      <c r="D1013" s="157"/>
      <c r="E1013" s="157"/>
      <c r="F1013" s="157"/>
      <c r="G1013" s="157"/>
      <c r="H1013" s="157"/>
      <c r="I1013" s="157"/>
      <c r="J1013" s="157"/>
      <c r="K1013" s="157"/>
      <c r="L1013" s="157"/>
      <c r="M1013" s="157"/>
    </row>
    <row r="1014" spans="2:13" ht="15">
      <c r="B1014" s="394"/>
      <c r="C1014" s="157"/>
      <c r="D1014" s="157"/>
      <c r="E1014" s="157"/>
      <c r="F1014" s="157"/>
      <c r="G1014" s="157"/>
      <c r="H1014" s="157"/>
      <c r="I1014" s="157"/>
      <c r="J1014" s="157"/>
      <c r="K1014" s="157"/>
      <c r="L1014" s="157"/>
      <c r="M1014" s="157"/>
    </row>
    <row r="1015" spans="2:13" ht="15">
      <c r="B1015" s="394"/>
      <c r="C1015" s="157"/>
      <c r="D1015" s="157"/>
      <c r="E1015" s="157"/>
      <c r="F1015" s="157"/>
      <c r="G1015" s="157"/>
      <c r="H1015" s="157"/>
      <c r="I1015" s="157"/>
      <c r="J1015" s="157"/>
      <c r="K1015" s="157"/>
      <c r="L1015" s="157"/>
      <c r="M1015" s="157"/>
    </row>
    <row r="1016" spans="2:13" ht="15">
      <c r="B1016" s="394"/>
      <c r="C1016" s="157"/>
      <c r="D1016" s="157"/>
      <c r="E1016" s="157"/>
      <c r="F1016" s="157"/>
      <c r="G1016" s="157"/>
      <c r="H1016" s="157"/>
      <c r="I1016" s="157"/>
      <c r="J1016" s="157"/>
      <c r="K1016" s="157"/>
      <c r="L1016" s="157"/>
      <c r="M1016" s="157"/>
    </row>
    <row r="1017" spans="2:13" ht="15">
      <c r="B1017" s="394"/>
      <c r="C1017" s="157"/>
      <c r="D1017" s="157"/>
      <c r="E1017" s="157"/>
      <c r="F1017" s="157"/>
      <c r="G1017" s="157"/>
      <c r="H1017" s="157"/>
      <c r="I1017" s="157"/>
      <c r="J1017" s="157"/>
      <c r="K1017" s="157"/>
      <c r="L1017" s="157"/>
      <c r="M1017" s="157"/>
    </row>
    <row r="1018" spans="2:13" ht="15">
      <c r="B1018" s="394"/>
      <c r="C1018" s="157"/>
      <c r="D1018" s="157"/>
      <c r="E1018" s="157"/>
      <c r="F1018" s="157"/>
      <c r="G1018" s="157"/>
      <c r="H1018" s="157"/>
      <c r="I1018" s="157"/>
      <c r="J1018" s="157"/>
      <c r="K1018" s="157"/>
      <c r="L1018" s="157"/>
      <c r="M1018" s="157"/>
    </row>
    <row r="1019" spans="2:13" ht="15">
      <c r="B1019" s="394"/>
      <c r="C1019" s="157"/>
      <c r="D1019" s="157"/>
      <c r="E1019" s="157"/>
      <c r="F1019" s="157"/>
      <c r="G1019" s="157"/>
      <c r="H1019" s="157"/>
      <c r="I1019" s="157"/>
      <c r="J1019" s="157"/>
      <c r="K1019" s="157"/>
      <c r="L1019" s="157"/>
      <c r="M1019" s="157"/>
    </row>
    <row r="1020" spans="2:13" ht="15">
      <c r="B1020" s="394"/>
      <c r="C1020" s="157"/>
      <c r="D1020" s="157"/>
      <c r="E1020" s="157"/>
      <c r="F1020" s="157"/>
      <c r="G1020" s="157"/>
      <c r="H1020" s="157"/>
      <c r="I1020" s="157"/>
      <c r="J1020" s="157"/>
      <c r="K1020" s="157"/>
      <c r="L1020" s="157"/>
      <c r="M1020" s="157"/>
    </row>
    <row r="1021" spans="2:13" ht="15">
      <c r="B1021" s="394"/>
      <c r="C1021" s="157"/>
      <c r="D1021" s="157"/>
      <c r="E1021" s="157"/>
      <c r="F1021" s="157"/>
      <c r="G1021" s="157"/>
      <c r="H1021" s="157"/>
      <c r="I1021" s="157"/>
      <c r="J1021" s="157"/>
      <c r="K1021" s="157"/>
      <c r="L1021" s="157"/>
      <c r="M1021" s="157"/>
    </row>
    <row r="1022" spans="2:13" ht="15">
      <c r="B1022" s="394"/>
      <c r="C1022" s="157"/>
      <c r="D1022" s="157"/>
      <c r="E1022" s="157"/>
      <c r="F1022" s="157"/>
      <c r="G1022" s="157"/>
      <c r="H1022" s="157"/>
      <c r="I1022" s="157"/>
      <c r="J1022" s="157"/>
      <c r="K1022" s="157"/>
      <c r="L1022" s="157"/>
      <c r="M1022" s="157"/>
    </row>
    <row r="1023" spans="2:13" ht="15">
      <c r="B1023" s="394"/>
      <c r="C1023" s="157"/>
      <c r="D1023" s="157"/>
      <c r="E1023" s="157"/>
      <c r="F1023" s="157"/>
      <c r="G1023" s="157"/>
      <c r="H1023" s="157"/>
      <c r="I1023" s="157"/>
      <c r="J1023" s="157"/>
      <c r="K1023" s="157"/>
      <c r="L1023" s="157"/>
      <c r="M1023" s="157"/>
    </row>
    <row r="1024" spans="2:13" ht="15">
      <c r="B1024" s="394"/>
      <c r="C1024" s="157"/>
      <c r="D1024" s="157"/>
      <c r="E1024" s="157"/>
      <c r="F1024" s="157"/>
      <c r="G1024" s="157"/>
      <c r="H1024" s="157"/>
      <c r="I1024" s="157"/>
      <c r="J1024" s="157"/>
      <c r="K1024" s="157"/>
      <c r="L1024" s="157"/>
      <c r="M1024" s="157"/>
    </row>
    <row r="1025" spans="2:13" ht="15">
      <c r="B1025" s="394"/>
      <c r="C1025" s="157"/>
      <c r="D1025" s="157"/>
      <c r="E1025" s="157"/>
      <c r="F1025" s="157"/>
      <c r="G1025" s="157"/>
      <c r="H1025" s="157"/>
      <c r="I1025" s="157"/>
      <c r="J1025" s="157"/>
      <c r="K1025" s="157"/>
      <c r="L1025" s="157"/>
      <c r="M1025" s="157"/>
    </row>
    <row r="1026" spans="2:13" ht="15">
      <c r="B1026" s="394"/>
      <c r="C1026" s="157"/>
      <c r="D1026" s="157"/>
      <c r="E1026" s="157"/>
      <c r="F1026" s="157"/>
      <c r="G1026" s="157"/>
      <c r="H1026" s="157"/>
      <c r="I1026" s="157"/>
      <c r="J1026" s="157"/>
      <c r="K1026" s="157"/>
      <c r="L1026" s="157"/>
      <c r="M1026" s="157"/>
    </row>
    <row r="1027" spans="2:13" ht="15">
      <c r="B1027" s="394"/>
      <c r="C1027" s="157"/>
      <c r="D1027" s="157"/>
      <c r="E1027" s="157"/>
      <c r="F1027" s="157"/>
      <c r="G1027" s="157"/>
      <c r="H1027" s="157"/>
      <c r="I1027" s="157"/>
      <c r="J1027" s="157"/>
      <c r="K1027" s="157"/>
      <c r="L1027" s="157"/>
      <c r="M1027" s="157"/>
    </row>
    <row r="1028" spans="2:13" ht="15">
      <c r="B1028" s="394"/>
      <c r="C1028" s="157"/>
      <c r="D1028" s="157"/>
      <c r="E1028" s="157"/>
      <c r="F1028" s="157"/>
      <c r="G1028" s="157"/>
      <c r="H1028" s="157"/>
      <c r="I1028" s="157"/>
      <c r="J1028" s="157"/>
      <c r="K1028" s="157"/>
      <c r="L1028" s="157"/>
      <c r="M1028" s="157"/>
    </row>
    <row r="1029" spans="2:13" ht="15">
      <c r="B1029" s="394"/>
      <c r="C1029" s="157"/>
      <c r="D1029" s="157"/>
      <c r="E1029" s="157"/>
      <c r="F1029" s="157"/>
      <c r="G1029" s="157"/>
      <c r="H1029" s="157"/>
      <c r="I1029" s="157"/>
      <c r="J1029" s="157"/>
      <c r="K1029" s="157"/>
      <c r="L1029" s="157"/>
      <c r="M1029" s="157"/>
    </row>
    <row r="1030" spans="2:13" ht="15">
      <c r="B1030" s="394"/>
      <c r="C1030" s="157"/>
      <c r="D1030" s="157"/>
      <c r="E1030" s="157"/>
      <c r="F1030" s="157"/>
      <c r="G1030" s="157"/>
      <c r="H1030" s="157"/>
      <c r="I1030" s="157"/>
      <c r="J1030" s="157"/>
      <c r="K1030" s="157"/>
      <c r="L1030" s="157"/>
      <c r="M1030" s="157"/>
    </row>
    <row r="1031" spans="2:13" ht="15">
      <c r="B1031" s="394"/>
      <c r="C1031" s="157"/>
      <c r="D1031" s="157"/>
      <c r="E1031" s="157"/>
      <c r="F1031" s="157"/>
      <c r="G1031" s="157"/>
      <c r="H1031" s="157"/>
      <c r="I1031" s="157"/>
      <c r="J1031" s="157"/>
      <c r="K1031" s="157"/>
      <c r="L1031" s="157"/>
      <c r="M1031" s="157"/>
    </row>
    <row r="1032" spans="2:13" ht="15">
      <c r="B1032" s="394"/>
      <c r="C1032" s="157"/>
      <c r="D1032" s="157"/>
      <c r="E1032" s="157"/>
      <c r="F1032" s="157"/>
      <c r="G1032" s="157"/>
      <c r="H1032" s="157"/>
      <c r="I1032" s="157"/>
      <c r="J1032" s="157"/>
      <c r="K1032" s="157"/>
      <c r="L1032" s="157"/>
      <c r="M1032" s="157"/>
    </row>
    <row r="1033" spans="2:13" ht="15">
      <c r="B1033" s="394"/>
      <c r="C1033" s="157"/>
      <c r="D1033" s="157"/>
      <c r="E1033" s="157"/>
      <c r="F1033" s="157"/>
      <c r="G1033" s="157"/>
      <c r="H1033" s="157"/>
      <c r="I1033" s="157"/>
      <c r="J1033" s="157"/>
      <c r="K1033" s="157"/>
      <c r="L1033" s="157"/>
      <c r="M1033" s="157"/>
    </row>
    <row r="1034" spans="2:13" ht="15">
      <c r="B1034" s="394"/>
      <c r="C1034" s="157"/>
      <c r="D1034" s="157"/>
      <c r="E1034" s="157"/>
      <c r="F1034" s="157"/>
      <c r="G1034" s="157"/>
      <c r="H1034" s="157"/>
      <c r="I1034" s="157"/>
      <c r="J1034" s="157"/>
      <c r="K1034" s="157"/>
      <c r="L1034" s="157"/>
      <c r="M1034" s="157"/>
    </row>
    <row r="1035" spans="2:13" ht="15">
      <c r="B1035" s="394"/>
      <c r="C1035" s="157"/>
      <c r="D1035" s="157"/>
      <c r="E1035" s="157"/>
      <c r="F1035" s="157"/>
      <c r="G1035" s="157"/>
      <c r="H1035" s="157"/>
      <c r="I1035" s="157"/>
      <c r="J1035" s="157"/>
      <c r="K1035" s="157"/>
      <c r="L1035" s="157"/>
      <c r="M1035" s="157"/>
    </row>
    <row r="1036" spans="2:13" ht="15">
      <c r="B1036" s="394"/>
      <c r="C1036" s="157"/>
      <c r="D1036" s="157"/>
      <c r="E1036" s="157"/>
      <c r="F1036" s="157"/>
      <c r="G1036" s="157"/>
      <c r="H1036" s="157"/>
      <c r="I1036" s="157"/>
      <c r="J1036" s="157"/>
      <c r="K1036" s="157"/>
      <c r="L1036" s="157"/>
      <c r="M1036" s="157"/>
    </row>
    <row r="1037" spans="2:13" ht="15">
      <c r="B1037" s="394"/>
      <c r="C1037" s="157"/>
      <c r="D1037" s="157"/>
      <c r="E1037" s="157"/>
      <c r="F1037" s="157"/>
      <c r="G1037" s="157"/>
      <c r="H1037" s="157"/>
      <c r="I1037" s="157"/>
      <c r="J1037" s="157"/>
      <c r="K1037" s="157"/>
      <c r="L1037" s="157"/>
      <c r="M1037" s="157"/>
    </row>
    <row r="1038" spans="2:13" ht="15">
      <c r="B1038" s="394"/>
      <c r="C1038" s="157"/>
      <c r="D1038" s="157"/>
      <c r="E1038" s="157"/>
      <c r="F1038" s="157"/>
      <c r="G1038" s="157"/>
      <c r="H1038" s="157"/>
      <c r="I1038" s="157"/>
      <c r="J1038" s="157"/>
      <c r="K1038" s="157"/>
      <c r="L1038" s="157"/>
      <c r="M1038" s="157"/>
    </row>
    <row r="1039" spans="2:13" ht="15">
      <c r="B1039" s="394"/>
      <c r="C1039" s="157"/>
      <c r="D1039" s="157"/>
      <c r="E1039" s="157"/>
      <c r="F1039" s="157"/>
      <c r="G1039" s="157"/>
      <c r="H1039" s="157"/>
      <c r="I1039" s="157"/>
      <c r="J1039" s="157"/>
      <c r="K1039" s="157"/>
      <c r="L1039" s="157"/>
      <c r="M1039" s="157"/>
    </row>
    <row r="1040" spans="2:13" ht="15">
      <c r="B1040" s="394"/>
      <c r="C1040" s="157"/>
      <c r="D1040" s="157"/>
      <c r="E1040" s="157"/>
      <c r="F1040" s="157"/>
      <c r="G1040" s="157"/>
      <c r="H1040" s="157"/>
      <c r="I1040" s="157"/>
      <c r="J1040" s="157"/>
      <c r="K1040" s="157"/>
      <c r="L1040" s="157"/>
      <c r="M1040" s="157"/>
    </row>
    <row r="1041" spans="2:13" ht="15">
      <c r="B1041" s="394"/>
      <c r="C1041" s="157"/>
      <c r="D1041" s="157"/>
      <c r="E1041" s="157"/>
      <c r="F1041" s="157"/>
      <c r="G1041" s="157"/>
      <c r="H1041" s="157"/>
      <c r="I1041" s="157"/>
      <c r="J1041" s="157"/>
      <c r="K1041" s="157"/>
      <c r="L1041" s="157"/>
      <c r="M1041" s="157"/>
    </row>
    <row r="1042" spans="2:13" ht="15">
      <c r="B1042" s="394"/>
      <c r="C1042" s="157"/>
      <c r="D1042" s="157"/>
      <c r="E1042" s="157"/>
      <c r="F1042" s="157"/>
      <c r="G1042" s="157"/>
      <c r="H1042" s="157"/>
      <c r="I1042" s="157"/>
      <c r="J1042" s="157"/>
      <c r="K1042" s="157"/>
      <c r="L1042" s="157"/>
      <c r="M1042" s="157"/>
    </row>
    <row r="1043" spans="2:13" ht="15">
      <c r="B1043" s="394"/>
      <c r="C1043" s="157"/>
      <c r="D1043" s="157"/>
      <c r="E1043" s="157"/>
      <c r="F1043" s="157"/>
      <c r="G1043" s="157"/>
      <c r="H1043" s="157"/>
      <c r="I1043" s="157"/>
      <c r="J1043" s="157"/>
      <c r="K1043" s="157"/>
      <c r="L1043" s="157"/>
      <c r="M1043" s="157"/>
    </row>
    <row r="1044" spans="2:13" ht="15">
      <c r="B1044" s="394"/>
      <c r="C1044" s="157"/>
      <c r="D1044" s="157"/>
      <c r="E1044" s="157"/>
      <c r="F1044" s="157"/>
      <c r="G1044" s="157"/>
      <c r="H1044" s="157"/>
      <c r="I1044" s="157"/>
      <c r="J1044" s="157"/>
      <c r="K1044" s="157"/>
      <c r="L1044" s="157"/>
      <c r="M1044" s="157"/>
    </row>
    <row r="1045" spans="2:13" ht="15">
      <c r="B1045" s="394"/>
      <c r="C1045" s="157"/>
      <c r="D1045" s="157"/>
      <c r="E1045" s="157"/>
      <c r="F1045" s="157"/>
      <c r="G1045" s="157"/>
      <c r="H1045" s="157"/>
      <c r="I1045" s="157"/>
      <c r="J1045" s="157"/>
      <c r="K1045" s="157"/>
      <c r="L1045" s="157"/>
      <c r="M1045" s="157"/>
    </row>
    <row r="1046" spans="2:13" ht="15">
      <c r="B1046" s="394"/>
      <c r="C1046" s="157"/>
      <c r="D1046" s="157"/>
      <c r="E1046" s="157"/>
      <c r="F1046" s="157"/>
      <c r="G1046" s="157"/>
      <c r="H1046" s="157"/>
      <c r="I1046" s="157"/>
      <c r="J1046" s="157"/>
      <c r="K1046" s="157"/>
      <c r="L1046" s="157"/>
      <c r="M1046" s="157"/>
    </row>
    <row r="1047" spans="2:13" ht="15">
      <c r="B1047" s="394"/>
      <c r="C1047" s="157"/>
      <c r="D1047" s="157"/>
      <c r="E1047" s="157"/>
      <c r="F1047" s="157"/>
      <c r="G1047" s="157"/>
      <c r="H1047" s="157"/>
      <c r="I1047" s="157"/>
      <c r="J1047" s="157"/>
      <c r="K1047" s="157"/>
      <c r="L1047" s="157"/>
      <c r="M1047" s="157"/>
    </row>
    <row r="1048" spans="2:13" ht="15">
      <c r="B1048" s="394"/>
      <c r="C1048" s="157"/>
      <c r="D1048" s="157"/>
      <c r="E1048" s="157"/>
      <c r="F1048" s="157"/>
      <c r="G1048" s="157"/>
      <c r="H1048" s="157"/>
      <c r="I1048" s="157"/>
      <c r="J1048" s="157"/>
      <c r="K1048" s="157"/>
      <c r="L1048" s="157"/>
      <c r="M1048" s="157"/>
    </row>
    <row r="1049" spans="2:13" ht="15">
      <c r="B1049" s="394"/>
      <c r="C1049" s="157"/>
      <c r="D1049" s="157"/>
      <c r="E1049" s="157"/>
      <c r="F1049" s="157"/>
      <c r="G1049" s="157"/>
      <c r="H1049" s="157"/>
      <c r="I1049" s="157"/>
      <c r="J1049" s="157"/>
      <c r="K1049" s="157"/>
      <c r="L1049" s="157"/>
      <c r="M1049" s="157"/>
    </row>
    <row r="1050" spans="2:13" ht="15">
      <c r="B1050" s="394"/>
      <c r="C1050" s="157"/>
      <c r="D1050" s="157"/>
      <c r="E1050" s="157"/>
      <c r="F1050" s="157"/>
      <c r="G1050" s="157"/>
      <c r="H1050" s="157"/>
      <c r="I1050" s="157"/>
      <c r="J1050" s="157"/>
      <c r="K1050" s="157"/>
      <c r="L1050" s="157"/>
      <c r="M1050" s="157"/>
    </row>
    <row r="1051" spans="2:13" ht="15">
      <c r="B1051" s="394"/>
      <c r="C1051" s="157"/>
      <c r="D1051" s="157"/>
      <c r="E1051" s="157"/>
      <c r="F1051" s="157"/>
      <c r="G1051" s="157"/>
      <c r="H1051" s="157"/>
      <c r="I1051" s="157"/>
      <c r="J1051" s="157"/>
      <c r="K1051" s="157"/>
      <c r="L1051" s="157"/>
      <c r="M1051" s="157"/>
    </row>
    <row r="1052" spans="2:13" ht="15">
      <c r="B1052" s="394"/>
      <c r="C1052" s="157"/>
      <c r="D1052" s="157"/>
      <c r="E1052" s="157"/>
      <c r="F1052" s="157"/>
      <c r="G1052" s="157"/>
      <c r="H1052" s="157"/>
      <c r="I1052" s="157"/>
      <c r="J1052" s="157"/>
      <c r="K1052" s="157"/>
      <c r="L1052" s="157"/>
      <c r="M1052" s="157"/>
    </row>
    <row r="1053" spans="2:13" ht="15">
      <c r="B1053" s="394"/>
      <c r="C1053" s="157"/>
      <c r="D1053" s="157"/>
      <c r="E1053" s="157"/>
      <c r="F1053" s="157"/>
      <c r="G1053" s="157"/>
      <c r="H1053" s="157"/>
      <c r="I1053" s="157"/>
      <c r="J1053" s="157"/>
      <c r="K1053" s="157"/>
      <c r="L1053" s="157"/>
      <c r="M1053" s="157"/>
    </row>
    <row r="1054" spans="2:13" ht="15">
      <c r="B1054" s="394"/>
      <c r="C1054" s="157"/>
      <c r="D1054" s="157"/>
      <c r="E1054" s="157"/>
      <c r="F1054" s="157"/>
      <c r="G1054" s="157"/>
      <c r="H1054" s="157"/>
      <c r="I1054" s="157"/>
      <c r="J1054" s="157"/>
      <c r="K1054" s="157"/>
      <c r="L1054" s="157"/>
      <c r="M1054" s="157"/>
    </row>
    <row r="1055" spans="2:13" ht="15">
      <c r="B1055" s="394"/>
      <c r="C1055" s="157"/>
      <c r="D1055" s="157"/>
      <c r="E1055" s="157"/>
      <c r="F1055" s="157"/>
      <c r="G1055" s="157"/>
      <c r="H1055" s="157"/>
      <c r="I1055" s="157"/>
      <c r="J1055" s="157"/>
      <c r="K1055" s="157"/>
      <c r="L1055" s="157"/>
      <c r="M1055" s="157"/>
    </row>
    <row r="1056" spans="2:13" ht="15">
      <c r="B1056" s="394"/>
      <c r="C1056" s="157"/>
      <c r="D1056" s="157"/>
      <c r="E1056" s="157"/>
      <c r="F1056" s="157"/>
      <c r="G1056" s="157"/>
      <c r="H1056" s="157"/>
      <c r="I1056" s="157"/>
      <c r="J1056" s="157"/>
      <c r="K1056" s="157"/>
      <c r="L1056" s="157"/>
      <c r="M1056" s="157"/>
    </row>
    <row r="1057" spans="2:13" ht="15">
      <c r="B1057" s="394"/>
      <c r="C1057" s="157"/>
      <c r="D1057" s="157"/>
      <c r="E1057" s="157"/>
      <c r="F1057" s="157"/>
      <c r="G1057" s="157"/>
      <c r="H1057" s="157"/>
      <c r="I1057" s="157"/>
      <c r="J1057" s="157"/>
      <c r="K1057" s="157"/>
      <c r="L1057" s="157"/>
      <c r="M1057" s="157"/>
    </row>
    <row r="1058" spans="2:13" ht="15">
      <c r="B1058" s="394"/>
      <c r="C1058" s="157"/>
      <c r="D1058" s="157"/>
      <c r="E1058" s="157"/>
      <c r="F1058" s="157"/>
      <c r="G1058" s="157"/>
      <c r="H1058" s="157"/>
      <c r="I1058" s="157"/>
      <c r="J1058" s="157"/>
      <c r="K1058" s="157"/>
      <c r="L1058" s="157"/>
      <c r="M1058" s="157"/>
    </row>
    <row r="1059" spans="2:13" ht="15">
      <c r="B1059" s="394"/>
      <c r="C1059" s="157"/>
      <c r="D1059" s="157"/>
      <c r="E1059" s="157"/>
      <c r="F1059" s="157"/>
      <c r="G1059" s="157"/>
      <c r="H1059" s="157"/>
      <c r="I1059" s="157"/>
      <c r="J1059" s="157"/>
      <c r="K1059" s="157"/>
      <c r="L1059" s="157"/>
      <c r="M1059" s="157"/>
    </row>
    <row r="1060" spans="2:13" ht="15">
      <c r="B1060" s="394"/>
      <c r="C1060" s="157"/>
      <c r="D1060" s="157"/>
      <c r="E1060" s="157"/>
      <c r="F1060" s="157"/>
      <c r="G1060" s="157"/>
      <c r="H1060" s="157"/>
      <c r="I1060" s="157"/>
      <c r="J1060" s="157"/>
      <c r="K1060" s="157"/>
      <c r="L1060" s="157"/>
      <c r="M1060" s="157"/>
    </row>
    <row r="1061" spans="2:13" ht="15">
      <c r="B1061" s="394"/>
      <c r="C1061" s="157"/>
      <c r="D1061" s="157"/>
      <c r="E1061" s="157"/>
      <c r="F1061" s="157"/>
      <c r="G1061" s="157"/>
      <c r="H1061" s="157"/>
      <c r="I1061" s="157"/>
      <c r="J1061" s="157"/>
      <c r="K1061" s="157"/>
      <c r="L1061" s="157"/>
      <c r="M1061" s="157"/>
    </row>
    <row r="1062" spans="2:13" ht="15">
      <c r="B1062" s="394"/>
      <c r="C1062" s="157"/>
      <c r="D1062" s="157"/>
      <c r="E1062" s="157"/>
      <c r="F1062" s="157"/>
      <c r="G1062" s="157"/>
      <c r="H1062" s="157"/>
      <c r="I1062" s="157"/>
      <c r="J1062" s="157"/>
      <c r="K1062" s="157"/>
      <c r="L1062" s="157"/>
      <c r="M1062" s="157"/>
    </row>
    <row r="1063" spans="2:13" ht="15">
      <c r="B1063" s="394"/>
      <c r="C1063" s="157"/>
      <c r="D1063" s="157"/>
      <c r="E1063" s="157"/>
      <c r="F1063" s="157"/>
      <c r="G1063" s="157"/>
      <c r="H1063" s="157"/>
      <c r="I1063" s="157"/>
      <c r="J1063" s="157"/>
      <c r="K1063" s="157"/>
      <c r="L1063" s="157"/>
      <c r="M1063" s="157"/>
    </row>
    <row r="1064" spans="2:13" ht="15">
      <c r="B1064" s="394"/>
      <c r="C1064" s="157"/>
      <c r="D1064" s="157"/>
      <c r="E1064" s="157"/>
      <c r="F1064" s="157"/>
      <c r="G1064" s="157"/>
      <c r="H1064" s="157"/>
      <c r="I1064" s="157"/>
      <c r="J1064" s="157"/>
      <c r="K1064" s="157"/>
      <c r="L1064" s="157"/>
      <c r="M1064" s="157"/>
    </row>
    <row r="1065" spans="2:13" ht="15">
      <c r="B1065" s="394"/>
      <c r="C1065" s="157"/>
      <c r="D1065" s="157"/>
      <c r="E1065" s="157"/>
      <c r="F1065" s="157"/>
      <c r="G1065" s="157"/>
      <c r="H1065" s="157"/>
      <c r="I1065" s="157"/>
      <c r="J1065" s="157"/>
      <c r="K1065" s="157"/>
      <c r="L1065" s="157"/>
      <c r="M1065" s="157"/>
    </row>
    <row r="1066" spans="2:13" ht="15">
      <c r="B1066" s="394"/>
      <c r="C1066" s="157"/>
      <c r="D1066" s="157"/>
      <c r="E1066" s="157"/>
      <c r="F1066" s="157"/>
      <c r="G1066" s="157"/>
      <c r="H1066" s="157"/>
      <c r="I1066" s="157"/>
      <c r="J1066" s="157"/>
      <c r="K1066" s="157"/>
      <c r="L1066" s="157"/>
      <c r="M1066" s="157"/>
    </row>
    <row r="1067" spans="2:13" ht="15">
      <c r="B1067" s="394"/>
      <c r="C1067" s="157"/>
      <c r="D1067" s="157"/>
      <c r="E1067" s="157"/>
      <c r="F1067" s="157"/>
      <c r="G1067" s="157"/>
      <c r="H1067" s="157"/>
      <c r="I1067" s="157"/>
      <c r="J1067" s="157"/>
      <c r="K1067" s="157"/>
      <c r="L1067" s="157"/>
      <c r="M1067" s="157"/>
    </row>
    <row r="1068" spans="2:13" ht="15">
      <c r="B1068" s="394"/>
      <c r="C1068" s="157"/>
      <c r="D1068" s="157"/>
      <c r="E1068" s="157"/>
      <c r="F1068" s="157"/>
      <c r="G1068" s="157"/>
      <c r="H1068" s="157"/>
      <c r="I1068" s="157"/>
      <c r="J1068" s="157"/>
      <c r="K1068" s="157"/>
      <c r="L1068" s="157"/>
      <c r="M1068" s="157"/>
    </row>
    <row r="1069" spans="2:13" ht="15">
      <c r="B1069" s="394"/>
      <c r="C1069" s="157"/>
      <c r="D1069" s="157"/>
      <c r="E1069" s="157"/>
      <c r="F1069" s="157"/>
      <c r="G1069" s="157"/>
      <c r="H1069" s="157"/>
      <c r="I1069" s="157"/>
      <c r="J1069" s="157"/>
      <c r="K1069" s="157"/>
      <c r="L1069" s="157"/>
      <c r="M1069" s="157"/>
    </row>
    <row r="1070" spans="2:13" ht="15">
      <c r="B1070" s="394"/>
      <c r="C1070" s="157"/>
      <c r="D1070" s="157"/>
      <c r="E1070" s="157"/>
      <c r="F1070" s="157"/>
      <c r="G1070" s="157"/>
      <c r="H1070" s="157"/>
      <c r="I1070" s="157"/>
      <c r="J1070" s="157"/>
      <c r="K1070" s="157"/>
      <c r="L1070" s="157"/>
      <c r="M1070" s="157"/>
    </row>
    <row r="1071" spans="2:13" ht="15">
      <c r="B1071" s="394"/>
      <c r="C1071" s="157"/>
      <c r="D1071" s="157"/>
      <c r="E1071" s="157"/>
      <c r="F1071" s="157"/>
      <c r="G1071" s="157"/>
      <c r="H1071" s="157"/>
      <c r="I1071" s="157"/>
      <c r="J1071" s="157"/>
      <c r="K1071" s="157"/>
      <c r="L1071" s="157"/>
      <c r="M1071" s="157"/>
    </row>
    <row r="1072" spans="2:13" ht="15">
      <c r="B1072" s="394"/>
      <c r="C1072" s="157"/>
      <c r="D1072" s="157"/>
      <c r="E1072" s="157"/>
      <c r="F1072" s="157"/>
      <c r="G1072" s="157"/>
      <c r="H1072" s="157"/>
      <c r="I1072" s="157"/>
      <c r="J1072" s="157"/>
      <c r="K1072" s="157"/>
      <c r="L1072" s="157"/>
      <c r="M1072" s="157"/>
    </row>
    <row r="1073" spans="2:13" ht="15">
      <c r="B1073" s="394"/>
      <c r="C1073" s="157"/>
      <c r="D1073" s="157"/>
      <c r="E1073" s="157"/>
      <c r="F1073" s="157"/>
      <c r="G1073" s="157"/>
      <c r="H1073" s="157"/>
      <c r="I1073" s="157"/>
      <c r="J1073" s="157"/>
      <c r="K1073" s="157"/>
      <c r="L1073" s="157"/>
      <c r="M1073" s="157"/>
    </row>
    <row r="1074" spans="2:13" ht="15">
      <c r="B1074" s="394"/>
      <c r="C1074" s="157"/>
      <c r="D1074" s="157"/>
      <c r="E1074" s="157"/>
      <c r="F1074" s="157"/>
      <c r="G1074" s="157"/>
      <c r="H1074" s="157"/>
      <c r="I1074" s="157"/>
      <c r="J1074" s="157"/>
      <c r="K1074" s="157"/>
      <c r="L1074" s="157"/>
      <c r="M1074" s="157"/>
    </row>
    <row r="1075" spans="2:13" ht="15">
      <c r="B1075" s="394"/>
      <c r="C1075" s="157"/>
      <c r="D1075" s="157"/>
      <c r="E1075" s="157"/>
      <c r="F1075" s="157"/>
      <c r="G1075" s="157"/>
      <c r="H1075" s="157"/>
      <c r="I1075" s="157"/>
      <c r="J1075" s="157"/>
      <c r="K1075" s="157"/>
      <c r="L1075" s="157"/>
      <c r="M1075" s="157"/>
    </row>
    <row r="1076" spans="2:13" ht="15">
      <c r="B1076" s="394"/>
      <c r="C1076" s="157"/>
      <c r="D1076" s="157"/>
      <c r="E1076" s="157"/>
      <c r="F1076" s="157"/>
      <c r="G1076" s="157"/>
      <c r="H1076" s="157"/>
      <c r="I1076" s="157"/>
      <c r="J1076" s="157"/>
      <c r="K1076" s="157"/>
      <c r="L1076" s="157"/>
      <c r="M1076" s="157"/>
    </row>
    <row r="1077" spans="2:13" ht="15">
      <c r="B1077" s="394"/>
      <c r="C1077" s="157"/>
      <c r="D1077" s="157"/>
      <c r="E1077" s="157"/>
      <c r="F1077" s="157"/>
      <c r="G1077" s="157"/>
      <c r="H1077" s="157"/>
      <c r="I1077" s="157"/>
      <c r="J1077" s="157"/>
      <c r="K1077" s="157"/>
      <c r="L1077" s="157"/>
      <c r="M1077" s="157"/>
    </row>
    <row r="1078" spans="2:13" ht="15">
      <c r="B1078" s="394"/>
      <c r="C1078" s="157"/>
      <c r="D1078" s="157"/>
      <c r="E1078" s="157"/>
      <c r="F1078" s="157"/>
      <c r="G1078" s="157"/>
      <c r="H1078" s="157"/>
      <c r="I1078" s="157"/>
      <c r="J1078" s="157"/>
      <c r="K1078" s="157"/>
      <c r="L1078" s="157"/>
      <c r="M1078" s="157"/>
    </row>
    <row r="1079" spans="2:13" ht="15">
      <c r="B1079" s="394"/>
      <c r="C1079" s="157"/>
      <c r="D1079" s="157"/>
      <c r="E1079" s="157"/>
      <c r="F1079" s="157"/>
      <c r="G1079" s="157"/>
      <c r="H1079" s="157"/>
      <c r="I1079" s="157"/>
      <c r="J1079" s="157"/>
      <c r="K1079" s="157"/>
      <c r="L1079" s="157"/>
      <c r="M1079" s="157"/>
    </row>
    <row r="1080" spans="2:13" ht="15">
      <c r="B1080" s="394"/>
      <c r="C1080" s="157"/>
      <c r="D1080" s="157"/>
      <c r="E1080" s="157"/>
      <c r="F1080" s="157"/>
      <c r="G1080" s="157"/>
      <c r="H1080" s="157"/>
      <c r="I1080" s="157"/>
      <c r="J1080" s="157"/>
      <c r="K1080" s="157"/>
      <c r="L1080" s="157"/>
      <c r="M1080" s="157"/>
    </row>
    <row r="1081" spans="2:13" ht="15">
      <c r="B1081" s="394"/>
      <c r="C1081" s="157"/>
      <c r="D1081" s="157"/>
      <c r="E1081" s="157"/>
      <c r="F1081" s="157"/>
      <c r="G1081" s="157"/>
      <c r="H1081" s="157"/>
      <c r="I1081" s="157"/>
      <c r="J1081" s="157"/>
      <c r="K1081" s="157"/>
      <c r="L1081" s="157"/>
      <c r="M1081" s="157"/>
    </row>
    <row r="1082" spans="2:13" ht="15">
      <c r="B1082" s="394"/>
      <c r="C1082" s="157"/>
      <c r="D1082" s="157"/>
      <c r="E1082" s="157"/>
      <c r="F1082" s="157"/>
      <c r="G1082" s="157"/>
      <c r="H1082" s="157"/>
      <c r="I1082" s="157"/>
      <c r="J1082" s="157"/>
      <c r="K1082" s="157"/>
      <c r="L1082" s="157"/>
      <c r="M1082" s="157"/>
    </row>
    <row r="1083" spans="2:13" ht="15">
      <c r="B1083" s="394"/>
      <c r="C1083" s="157"/>
      <c r="D1083" s="157"/>
      <c r="E1083" s="157"/>
      <c r="F1083" s="157"/>
      <c r="G1083" s="157"/>
      <c r="H1083" s="157"/>
      <c r="I1083" s="157"/>
      <c r="J1083" s="157"/>
      <c r="K1083" s="157"/>
      <c r="L1083" s="157"/>
      <c r="M1083" s="157"/>
    </row>
    <row r="1084" spans="2:13" ht="15">
      <c r="B1084" s="394"/>
      <c r="C1084" s="157"/>
      <c r="D1084" s="157"/>
      <c r="E1084" s="157"/>
      <c r="F1084" s="157"/>
      <c r="G1084" s="157"/>
      <c r="H1084" s="157"/>
      <c r="I1084" s="157"/>
      <c r="J1084" s="157"/>
      <c r="K1084" s="157"/>
      <c r="L1084" s="157"/>
      <c r="M1084" s="157"/>
    </row>
    <row r="1085" spans="2:13" ht="15">
      <c r="B1085" s="394"/>
      <c r="C1085" s="157"/>
      <c r="D1085" s="157"/>
      <c r="E1085" s="157"/>
      <c r="F1085" s="157"/>
      <c r="G1085" s="157"/>
      <c r="H1085" s="157"/>
      <c r="I1085" s="157"/>
      <c r="J1085" s="157"/>
      <c r="K1085" s="157"/>
      <c r="L1085" s="157"/>
      <c r="M1085" s="157"/>
    </row>
    <row r="1086" spans="2:13" ht="15">
      <c r="B1086" s="394"/>
      <c r="C1086" s="157"/>
      <c r="D1086" s="157"/>
      <c r="E1086" s="157"/>
      <c r="F1086" s="157"/>
      <c r="G1086" s="157"/>
      <c r="H1086" s="157"/>
      <c r="I1086" s="157"/>
      <c r="J1086" s="157"/>
      <c r="K1086" s="157"/>
      <c r="L1086" s="157"/>
      <c r="M1086" s="157"/>
    </row>
    <row r="1087" spans="2:13" ht="15">
      <c r="B1087" s="394"/>
      <c r="C1087" s="157"/>
      <c r="D1087" s="157"/>
      <c r="E1087" s="157"/>
      <c r="F1087" s="157"/>
      <c r="G1087" s="157"/>
      <c r="H1087" s="157"/>
      <c r="I1087" s="157"/>
      <c r="J1087" s="157"/>
      <c r="K1087" s="157"/>
      <c r="L1087" s="157"/>
      <c r="M1087" s="157"/>
    </row>
    <row r="1088" spans="2:13" ht="15">
      <c r="B1088" s="394"/>
      <c r="C1088" s="157"/>
      <c r="D1088" s="157"/>
      <c r="E1088" s="157"/>
      <c r="F1088" s="157"/>
      <c r="G1088" s="157"/>
      <c r="H1088" s="157"/>
      <c r="I1088" s="157"/>
      <c r="J1088" s="157"/>
      <c r="K1088" s="157"/>
      <c r="L1088" s="157"/>
      <c r="M1088" s="157"/>
    </row>
    <row r="1089" spans="2:13" ht="15">
      <c r="B1089" s="394"/>
      <c r="C1089" s="157"/>
      <c r="D1089" s="157"/>
      <c r="E1089" s="157"/>
      <c r="F1089" s="157"/>
      <c r="G1089" s="157"/>
      <c r="H1089" s="157"/>
      <c r="I1089" s="157"/>
      <c r="J1089" s="157"/>
      <c r="K1089" s="157"/>
      <c r="L1089" s="157"/>
      <c r="M1089" s="157"/>
    </row>
    <row r="1090" spans="2:13" ht="15">
      <c r="B1090" s="394"/>
      <c r="C1090" s="157"/>
      <c r="D1090" s="157"/>
      <c r="E1090" s="157"/>
      <c r="F1090" s="157"/>
      <c r="G1090" s="157"/>
      <c r="H1090" s="157"/>
      <c r="I1090" s="157"/>
      <c r="J1090" s="157"/>
      <c r="K1090" s="157"/>
      <c r="L1090" s="157"/>
      <c r="M1090" s="157"/>
    </row>
    <row r="1091" spans="2:13" ht="15">
      <c r="B1091" s="394"/>
      <c r="C1091" s="157"/>
      <c r="D1091" s="157"/>
      <c r="E1091" s="157"/>
      <c r="F1091" s="157"/>
      <c r="G1091" s="157"/>
      <c r="H1091" s="157"/>
      <c r="I1091" s="157"/>
      <c r="J1091" s="157"/>
      <c r="K1091" s="157"/>
      <c r="L1091" s="157"/>
      <c r="M1091" s="157"/>
    </row>
    <row r="1092" spans="2:13" ht="15">
      <c r="B1092" s="394"/>
      <c r="C1092" s="157"/>
      <c r="D1092" s="157"/>
      <c r="E1092" s="157"/>
      <c r="F1092" s="157"/>
      <c r="G1092" s="157"/>
      <c r="H1092" s="157"/>
      <c r="I1092" s="157"/>
      <c r="J1092" s="157"/>
      <c r="K1092" s="157"/>
      <c r="L1092" s="157"/>
      <c r="M1092" s="157"/>
    </row>
    <row r="1093" spans="2:13" ht="15">
      <c r="B1093" s="394"/>
      <c r="C1093" s="157"/>
      <c r="D1093" s="157"/>
      <c r="E1093" s="157"/>
      <c r="F1093" s="157"/>
      <c r="G1093" s="157"/>
      <c r="H1093" s="157"/>
      <c r="I1093" s="157"/>
      <c r="J1093" s="157"/>
      <c r="K1093" s="157"/>
      <c r="L1093" s="157"/>
      <c r="M1093" s="157"/>
    </row>
    <row r="1094" spans="2:13" ht="15">
      <c r="B1094" s="394"/>
      <c r="C1094" s="157"/>
      <c r="D1094" s="157"/>
      <c r="E1094" s="157"/>
      <c r="F1094" s="157"/>
      <c r="G1094" s="157"/>
      <c r="H1094" s="157"/>
      <c r="I1094" s="157"/>
      <c r="J1094" s="157"/>
      <c r="K1094" s="157"/>
      <c r="L1094" s="157"/>
      <c r="M1094" s="157"/>
    </row>
    <row r="1095" spans="2:13" ht="15">
      <c r="B1095" s="394"/>
      <c r="C1095" s="157"/>
      <c r="D1095" s="157"/>
      <c r="E1095" s="157"/>
      <c r="F1095" s="157"/>
      <c r="G1095" s="157"/>
      <c r="H1095" s="157"/>
      <c r="I1095" s="157"/>
      <c r="J1095" s="157"/>
      <c r="K1095" s="157"/>
      <c r="L1095" s="157"/>
      <c r="M1095" s="157"/>
    </row>
    <row r="1096" spans="2:13" ht="15">
      <c r="B1096" s="394"/>
      <c r="C1096" s="157"/>
      <c r="D1096" s="157"/>
      <c r="E1096" s="157"/>
      <c r="F1096" s="157"/>
      <c r="G1096" s="157"/>
      <c r="H1096" s="157"/>
      <c r="I1096" s="157"/>
      <c r="J1096" s="157"/>
      <c r="K1096" s="157"/>
      <c r="L1096" s="157"/>
      <c r="M1096" s="157"/>
    </row>
    <row r="1097" spans="2:13" ht="15">
      <c r="B1097" s="394"/>
      <c r="C1097" s="157"/>
      <c r="D1097" s="157"/>
      <c r="E1097" s="157"/>
      <c r="F1097" s="157"/>
      <c r="G1097" s="157"/>
      <c r="H1097" s="157"/>
      <c r="I1097" s="157"/>
      <c r="J1097" s="157"/>
      <c r="K1097" s="157"/>
      <c r="L1097" s="157"/>
      <c r="M1097" s="157"/>
    </row>
    <row r="1098" spans="2:13" ht="15">
      <c r="B1098" s="394"/>
      <c r="C1098" s="157"/>
      <c r="D1098" s="157"/>
      <c r="E1098" s="157"/>
      <c r="F1098" s="157"/>
      <c r="G1098" s="157"/>
      <c r="H1098" s="157"/>
      <c r="I1098" s="157"/>
      <c r="J1098" s="157"/>
      <c r="K1098" s="157"/>
      <c r="L1098" s="157"/>
      <c r="M1098" s="157"/>
    </row>
    <row r="1099" spans="2:13" ht="15">
      <c r="B1099" s="394"/>
      <c r="C1099" s="157"/>
      <c r="D1099" s="157"/>
      <c r="E1099" s="157"/>
      <c r="F1099" s="157"/>
      <c r="G1099" s="157"/>
      <c r="H1099" s="157"/>
      <c r="I1099" s="157"/>
      <c r="J1099" s="157"/>
      <c r="K1099" s="157"/>
      <c r="L1099" s="157"/>
      <c r="M1099" s="157"/>
    </row>
    <row r="1100" spans="2:13" ht="15">
      <c r="B1100" s="394"/>
      <c r="C1100" s="157"/>
      <c r="D1100" s="157"/>
      <c r="E1100" s="157"/>
      <c r="F1100" s="157"/>
      <c r="G1100" s="157"/>
      <c r="H1100" s="157"/>
      <c r="I1100" s="157"/>
      <c r="J1100" s="157"/>
      <c r="K1100" s="157"/>
      <c r="L1100" s="157"/>
      <c r="M1100" s="157"/>
    </row>
    <row r="1101" spans="2:13" ht="15">
      <c r="B1101" s="394"/>
      <c r="C1101" s="157"/>
      <c r="D1101" s="157"/>
      <c r="E1101" s="157"/>
      <c r="F1101" s="157"/>
      <c r="G1101" s="157"/>
      <c r="H1101" s="157"/>
      <c r="I1101" s="157"/>
      <c r="J1101" s="157"/>
      <c r="K1101" s="157"/>
      <c r="L1101" s="157"/>
      <c r="M1101" s="157"/>
    </row>
    <row r="1102" spans="2:13" ht="15">
      <c r="B1102" s="394"/>
      <c r="C1102" s="157"/>
      <c r="D1102" s="157"/>
      <c r="E1102" s="157"/>
      <c r="F1102" s="157"/>
      <c r="G1102" s="157"/>
      <c r="H1102" s="157"/>
      <c r="I1102" s="157"/>
      <c r="J1102" s="157"/>
      <c r="K1102" s="157"/>
      <c r="L1102" s="157"/>
      <c r="M1102" s="157"/>
    </row>
    <row r="1103" spans="2:13" ht="15">
      <c r="B1103" s="394"/>
      <c r="C1103" s="157"/>
      <c r="D1103" s="157"/>
      <c r="E1103" s="157"/>
      <c r="F1103" s="157"/>
      <c r="G1103" s="157"/>
      <c r="H1103" s="157"/>
      <c r="I1103" s="157"/>
      <c r="J1103" s="157"/>
      <c r="K1103" s="157"/>
      <c r="L1103" s="157"/>
      <c r="M1103" s="157"/>
    </row>
    <row r="1104" spans="2:13" ht="15">
      <c r="B1104" s="394"/>
      <c r="C1104" s="157"/>
      <c r="D1104" s="157"/>
      <c r="E1104" s="157"/>
      <c r="F1104" s="157"/>
      <c r="G1104" s="157"/>
      <c r="H1104" s="157"/>
      <c r="I1104" s="157"/>
      <c r="J1104" s="157"/>
      <c r="K1104" s="157"/>
      <c r="L1104" s="157"/>
      <c r="M1104" s="157"/>
    </row>
    <row r="1105" spans="2:13" ht="15">
      <c r="B1105" s="394"/>
      <c r="C1105" s="157"/>
      <c r="D1105" s="157"/>
      <c r="E1105" s="157"/>
      <c r="F1105" s="157"/>
      <c r="G1105" s="157"/>
      <c r="H1105" s="157"/>
      <c r="I1105" s="157"/>
      <c r="J1105" s="157"/>
      <c r="K1105" s="157"/>
      <c r="L1105" s="157"/>
      <c r="M1105" s="157"/>
    </row>
    <row r="1106" spans="2:13" ht="15">
      <c r="B1106" s="394"/>
      <c r="C1106" s="157"/>
      <c r="D1106" s="157"/>
      <c r="E1106" s="157"/>
      <c r="F1106" s="157"/>
      <c r="G1106" s="157"/>
      <c r="H1106" s="157"/>
      <c r="I1106" s="157"/>
      <c r="J1106" s="157"/>
      <c r="K1106" s="157"/>
      <c r="L1106" s="157"/>
      <c r="M1106" s="157"/>
    </row>
    <row r="1107" spans="2:13" ht="15">
      <c r="B1107" s="394"/>
      <c r="C1107" s="157"/>
      <c r="D1107" s="157"/>
      <c r="E1107" s="157"/>
      <c r="F1107" s="157"/>
      <c r="G1107" s="157"/>
      <c r="H1107" s="157"/>
      <c r="I1107" s="157"/>
      <c r="J1107" s="157"/>
      <c r="K1107" s="157"/>
      <c r="L1107" s="157"/>
      <c r="M1107" s="157"/>
    </row>
    <row r="1108" spans="2:13" ht="15">
      <c r="B1108" s="394"/>
      <c r="C1108" s="157"/>
      <c r="D1108" s="157"/>
      <c r="E1108" s="157"/>
      <c r="F1108" s="157"/>
      <c r="G1108" s="157"/>
      <c r="H1108" s="157"/>
      <c r="I1108" s="157"/>
      <c r="J1108" s="157"/>
      <c r="K1108" s="157"/>
      <c r="L1108" s="157"/>
      <c r="M1108" s="157"/>
    </row>
    <row r="1109" spans="2:13" ht="15">
      <c r="B1109" s="394"/>
      <c r="C1109" s="157"/>
      <c r="D1109" s="157"/>
      <c r="E1109" s="157"/>
      <c r="F1109" s="157"/>
      <c r="G1109" s="157"/>
      <c r="H1109" s="157"/>
      <c r="I1109" s="157"/>
      <c r="J1109" s="157"/>
      <c r="K1109" s="157"/>
      <c r="L1109" s="157"/>
      <c r="M1109" s="157"/>
    </row>
    <row r="1110" spans="2:13" ht="15">
      <c r="B1110" s="394"/>
      <c r="C1110" s="157"/>
      <c r="D1110" s="157"/>
      <c r="E1110" s="157"/>
      <c r="F1110" s="157"/>
      <c r="G1110" s="157"/>
      <c r="H1110" s="157"/>
      <c r="I1110" s="157"/>
      <c r="J1110" s="157"/>
      <c r="K1110" s="157"/>
      <c r="L1110" s="157"/>
      <c r="M1110" s="157"/>
    </row>
    <row r="1111" spans="2:13" ht="15">
      <c r="B1111" s="394"/>
      <c r="C1111" s="157"/>
      <c r="D1111" s="157"/>
      <c r="E1111" s="157"/>
      <c r="F1111" s="157"/>
      <c r="G1111" s="157"/>
      <c r="H1111" s="157"/>
      <c r="I1111" s="157"/>
      <c r="J1111" s="157"/>
      <c r="K1111" s="157"/>
      <c r="L1111" s="157"/>
      <c r="M1111" s="157"/>
    </row>
    <row r="1112" spans="2:13" ht="15">
      <c r="B1112" s="394"/>
      <c r="C1112" s="157"/>
      <c r="D1112" s="157"/>
      <c r="E1112" s="157"/>
      <c r="F1112" s="157"/>
      <c r="G1112" s="157"/>
      <c r="H1112" s="157"/>
      <c r="I1112" s="157"/>
      <c r="J1112" s="157"/>
      <c r="K1112" s="157"/>
      <c r="L1112" s="157"/>
      <c r="M1112" s="157"/>
    </row>
    <row r="1113" spans="2:13" ht="15">
      <c r="B1113" s="394"/>
      <c r="C1113" s="157"/>
      <c r="D1113" s="157"/>
      <c r="E1113" s="157"/>
      <c r="F1113" s="157"/>
      <c r="G1113" s="157"/>
      <c r="H1113" s="157"/>
      <c r="I1113" s="157"/>
      <c r="J1113" s="157"/>
      <c r="K1113" s="157"/>
      <c r="L1113" s="157"/>
      <c r="M1113" s="157"/>
    </row>
    <row r="1114" spans="2:13" ht="15">
      <c r="B1114" s="394"/>
      <c r="C1114" s="157"/>
      <c r="D1114" s="157"/>
      <c r="E1114" s="157"/>
      <c r="F1114" s="157"/>
      <c r="G1114" s="157"/>
      <c r="H1114" s="157"/>
      <c r="I1114" s="157"/>
      <c r="J1114" s="157"/>
      <c r="K1114" s="157"/>
      <c r="L1114" s="157"/>
      <c r="M1114" s="157"/>
    </row>
    <row r="1115" spans="2:13" ht="15">
      <c r="B1115" s="394"/>
      <c r="C1115" s="157"/>
      <c r="D1115" s="157"/>
      <c r="E1115" s="157"/>
      <c r="F1115" s="157"/>
      <c r="G1115" s="157"/>
      <c r="H1115" s="157"/>
      <c r="I1115" s="157"/>
      <c r="J1115" s="157"/>
      <c r="K1115" s="157"/>
      <c r="L1115" s="157"/>
      <c r="M1115" s="157"/>
    </row>
    <row r="1116" spans="2:13" ht="15">
      <c r="B1116" s="394"/>
      <c r="C1116" s="157"/>
      <c r="D1116" s="157"/>
      <c r="E1116" s="157"/>
      <c r="F1116" s="157"/>
      <c r="G1116" s="157"/>
      <c r="H1116" s="157"/>
      <c r="I1116" s="157"/>
      <c r="J1116" s="157"/>
      <c r="K1116" s="157"/>
      <c r="L1116" s="157"/>
      <c r="M1116" s="157"/>
    </row>
    <row r="1117" spans="2:13" ht="15">
      <c r="B1117" s="394"/>
      <c r="C1117" s="157"/>
      <c r="D1117" s="157"/>
      <c r="E1117" s="157"/>
      <c r="F1117" s="157"/>
      <c r="G1117" s="157"/>
      <c r="H1117" s="157"/>
      <c r="I1117" s="157"/>
      <c r="J1117" s="157"/>
      <c r="K1117" s="157"/>
      <c r="L1117" s="157"/>
      <c r="M1117" s="157"/>
    </row>
    <row r="1118" spans="2:13" ht="15">
      <c r="B1118" s="394"/>
      <c r="C1118" s="157"/>
      <c r="D1118" s="157"/>
      <c r="E1118" s="157"/>
      <c r="F1118" s="157"/>
      <c r="G1118" s="157"/>
      <c r="H1118" s="157"/>
      <c r="I1118" s="157"/>
      <c r="J1118" s="157"/>
      <c r="K1118" s="157"/>
      <c r="L1118" s="157"/>
      <c r="M1118" s="157"/>
    </row>
    <row r="1119" spans="2:13" ht="15">
      <c r="B1119" s="394"/>
      <c r="C1119" s="157"/>
      <c r="D1119" s="157"/>
      <c r="E1119" s="157"/>
      <c r="F1119" s="157"/>
      <c r="G1119" s="157"/>
      <c r="H1119" s="157"/>
      <c r="I1119" s="157"/>
      <c r="J1119" s="157"/>
      <c r="K1119" s="157"/>
      <c r="L1119" s="157"/>
      <c r="M1119" s="157"/>
    </row>
    <row r="1120" spans="2:13" ht="15">
      <c r="B1120" s="394"/>
      <c r="C1120" s="157"/>
      <c r="D1120" s="157"/>
      <c r="E1120" s="157"/>
      <c r="F1120" s="157"/>
      <c r="G1120" s="157"/>
      <c r="H1120" s="157"/>
      <c r="I1120" s="157"/>
      <c r="J1120" s="157"/>
      <c r="K1120" s="157"/>
      <c r="L1120" s="157"/>
      <c r="M1120" s="157"/>
    </row>
    <row r="1121" spans="2:13" ht="15">
      <c r="B1121" s="394"/>
      <c r="C1121" s="157"/>
      <c r="D1121" s="157"/>
      <c r="E1121" s="157"/>
      <c r="F1121" s="157"/>
      <c r="G1121" s="157"/>
      <c r="H1121" s="157"/>
      <c r="I1121" s="157"/>
      <c r="J1121" s="157"/>
      <c r="K1121" s="157"/>
      <c r="L1121" s="157"/>
      <c r="M1121" s="157"/>
    </row>
    <row r="1122" spans="2:13" ht="15">
      <c r="B1122" s="394"/>
      <c r="C1122" s="157"/>
      <c r="D1122" s="157"/>
      <c r="E1122" s="157"/>
      <c r="F1122" s="157"/>
      <c r="G1122" s="157"/>
      <c r="H1122" s="157"/>
      <c r="I1122" s="157"/>
      <c r="J1122" s="157"/>
      <c r="K1122" s="157"/>
      <c r="L1122" s="157"/>
      <c r="M1122" s="157"/>
    </row>
    <row r="1123" spans="2:13" ht="15">
      <c r="B1123" s="394"/>
      <c r="C1123" s="157"/>
      <c r="D1123" s="157"/>
      <c r="E1123" s="157"/>
      <c r="F1123" s="157"/>
      <c r="G1123" s="157"/>
      <c r="H1123" s="157"/>
      <c r="I1123" s="157"/>
      <c r="J1123" s="157"/>
      <c r="K1123" s="157"/>
      <c r="L1123" s="157"/>
      <c r="M1123" s="157"/>
    </row>
    <row r="1124" spans="2:13" ht="15">
      <c r="B1124" s="394"/>
      <c r="C1124" s="157"/>
      <c r="D1124" s="157"/>
      <c r="E1124" s="157"/>
      <c r="F1124" s="157"/>
      <c r="G1124" s="157"/>
      <c r="H1124" s="157"/>
      <c r="I1124" s="157"/>
      <c r="J1124" s="157"/>
      <c r="K1124" s="157"/>
      <c r="L1124" s="157"/>
      <c r="M1124" s="157"/>
    </row>
    <row r="1125" spans="2:13" ht="15">
      <c r="B1125" s="394"/>
      <c r="C1125" s="157"/>
      <c r="D1125" s="157"/>
      <c r="E1125" s="157"/>
      <c r="F1125" s="157"/>
      <c r="G1125" s="157"/>
      <c r="H1125" s="157"/>
      <c r="I1125" s="157"/>
      <c r="J1125" s="157"/>
      <c r="K1125" s="157"/>
      <c r="L1125" s="157"/>
      <c r="M1125" s="157"/>
    </row>
    <row r="1126" spans="2:13" ht="15">
      <c r="B1126" s="394"/>
      <c r="C1126" s="157"/>
      <c r="D1126" s="157"/>
      <c r="E1126" s="157"/>
      <c r="F1126" s="157"/>
      <c r="G1126" s="157"/>
      <c r="H1126" s="157"/>
      <c r="I1126" s="157"/>
      <c r="J1126" s="157"/>
      <c r="K1126" s="157"/>
      <c r="L1126" s="157"/>
      <c r="M1126" s="157"/>
    </row>
    <row r="1127" spans="2:13" ht="15">
      <c r="B1127" s="394"/>
      <c r="C1127" s="157"/>
      <c r="D1127" s="157"/>
      <c r="E1127" s="157"/>
      <c r="F1127" s="157"/>
      <c r="G1127" s="157"/>
      <c r="H1127" s="157"/>
      <c r="I1127" s="157"/>
      <c r="J1127" s="157"/>
      <c r="K1127" s="157"/>
      <c r="L1127" s="157"/>
      <c r="M1127" s="157"/>
    </row>
    <row r="1128" spans="2:13" ht="15">
      <c r="B1128" s="394"/>
      <c r="C1128" s="157"/>
      <c r="D1128" s="157"/>
      <c r="E1128" s="157"/>
      <c r="F1128" s="157"/>
      <c r="G1128" s="157"/>
      <c r="H1128" s="157"/>
      <c r="I1128" s="157"/>
      <c r="J1128" s="157"/>
      <c r="K1128" s="157"/>
      <c r="L1128" s="157"/>
      <c r="M1128" s="157"/>
    </row>
    <row r="1129" spans="2:13" ht="15">
      <c r="B1129" s="394"/>
      <c r="C1129" s="157"/>
      <c r="D1129" s="157"/>
      <c r="E1129" s="157"/>
      <c r="F1129" s="157"/>
      <c r="G1129" s="157"/>
      <c r="H1129" s="157"/>
      <c r="I1129" s="157"/>
      <c r="J1129" s="157"/>
      <c r="K1129" s="157"/>
      <c r="L1129" s="157"/>
      <c r="M1129" s="157"/>
    </row>
    <row r="1130" spans="2:13" ht="15">
      <c r="B1130" s="394"/>
      <c r="C1130" s="157"/>
      <c r="D1130" s="157"/>
      <c r="E1130" s="157"/>
      <c r="F1130" s="157"/>
      <c r="G1130" s="157"/>
      <c r="H1130" s="157"/>
      <c r="I1130" s="157"/>
      <c r="J1130" s="157"/>
      <c r="K1130" s="157"/>
      <c r="L1130" s="157"/>
      <c r="M1130" s="157"/>
    </row>
    <row r="1131" spans="2:13" ht="15">
      <c r="B1131" s="394"/>
      <c r="C1131" s="157"/>
      <c r="D1131" s="157"/>
      <c r="E1131" s="157"/>
      <c r="F1131" s="157"/>
      <c r="G1131" s="157"/>
      <c r="H1131" s="157"/>
      <c r="I1131" s="157"/>
      <c r="J1131" s="157"/>
      <c r="K1131" s="157"/>
      <c r="L1131" s="157"/>
      <c r="M1131" s="157"/>
    </row>
    <row r="1132" spans="2:13" ht="15">
      <c r="B1132" s="394"/>
      <c r="C1132" s="157"/>
      <c r="D1132" s="157"/>
      <c r="E1132" s="157"/>
      <c r="F1132" s="157"/>
      <c r="G1132" s="157"/>
      <c r="H1132" s="157"/>
      <c r="I1132" s="157"/>
      <c r="J1132" s="157"/>
      <c r="K1132" s="157"/>
      <c r="L1132" s="157"/>
      <c r="M1132" s="157"/>
    </row>
    <row r="1133" spans="2:13" ht="15">
      <c r="B1133" s="394"/>
      <c r="C1133" s="157"/>
      <c r="D1133" s="157"/>
      <c r="E1133" s="157"/>
      <c r="F1133" s="157"/>
      <c r="G1133" s="157"/>
      <c r="H1133" s="157"/>
      <c r="I1133" s="157"/>
      <c r="J1133" s="157"/>
      <c r="K1133" s="157"/>
      <c r="L1133" s="157"/>
      <c r="M1133" s="157"/>
    </row>
    <row r="1134" spans="2:13" ht="15">
      <c r="B1134" s="394"/>
      <c r="C1134" s="157"/>
      <c r="D1134" s="157"/>
      <c r="E1134" s="157"/>
      <c r="F1134" s="157"/>
      <c r="G1134" s="157"/>
      <c r="H1134" s="157"/>
      <c r="I1134" s="157"/>
      <c r="J1134" s="157"/>
      <c r="K1134" s="157"/>
      <c r="L1134" s="157"/>
      <c r="M1134" s="157"/>
    </row>
    <row r="1135" spans="2:13" ht="15">
      <c r="B1135" s="394"/>
      <c r="C1135" s="157"/>
      <c r="D1135" s="157"/>
      <c r="E1135" s="157"/>
      <c r="F1135" s="157"/>
      <c r="G1135" s="157"/>
      <c r="H1135" s="157"/>
      <c r="I1135" s="157"/>
      <c r="J1135" s="157"/>
      <c r="K1135" s="157"/>
      <c r="L1135" s="157"/>
      <c r="M1135" s="157"/>
    </row>
    <row r="1136" spans="2:13" ht="15">
      <c r="B1136" s="394"/>
      <c r="C1136" s="157"/>
      <c r="D1136" s="157"/>
      <c r="E1136" s="157"/>
      <c r="F1136" s="157"/>
      <c r="G1136" s="157"/>
      <c r="H1136" s="157"/>
      <c r="I1136" s="157"/>
      <c r="J1136" s="157"/>
      <c r="K1136" s="157"/>
      <c r="L1136" s="157"/>
      <c r="M1136" s="157"/>
    </row>
    <row r="1137" spans="2:13" ht="15">
      <c r="B1137" s="394"/>
      <c r="C1137" s="157"/>
      <c r="D1137" s="157"/>
      <c r="E1137" s="157"/>
      <c r="F1137" s="157"/>
      <c r="G1137" s="157"/>
      <c r="H1137" s="157"/>
      <c r="I1137" s="157"/>
      <c r="J1137" s="157"/>
      <c r="K1137" s="157"/>
      <c r="L1137" s="157"/>
      <c r="M1137" s="157"/>
    </row>
    <row r="1138" spans="2:13" ht="15">
      <c r="B1138" s="394"/>
      <c r="C1138" s="157"/>
      <c r="D1138" s="157"/>
      <c r="E1138" s="157"/>
      <c r="F1138" s="157"/>
      <c r="G1138" s="157"/>
      <c r="H1138" s="157"/>
      <c r="I1138" s="157"/>
      <c r="J1138" s="157"/>
      <c r="K1138" s="157"/>
      <c r="L1138" s="157"/>
      <c r="M1138" s="157"/>
    </row>
    <row r="1139" spans="2:13" ht="15">
      <c r="B1139" s="394"/>
      <c r="C1139" s="157"/>
      <c r="D1139" s="157"/>
      <c r="E1139" s="157"/>
      <c r="F1139" s="157"/>
      <c r="G1139" s="157"/>
      <c r="H1139" s="157"/>
      <c r="I1139" s="157"/>
      <c r="J1139" s="157"/>
      <c r="K1139" s="157"/>
      <c r="L1139" s="157"/>
      <c r="M1139" s="157"/>
    </row>
    <row r="1140" spans="2:13" ht="15">
      <c r="B1140" s="394"/>
      <c r="C1140" s="157"/>
      <c r="D1140" s="157"/>
      <c r="E1140" s="157"/>
      <c r="F1140" s="157"/>
      <c r="G1140" s="157"/>
      <c r="H1140" s="157"/>
      <c r="I1140" s="157"/>
      <c r="J1140" s="157"/>
      <c r="K1140" s="157"/>
      <c r="L1140" s="157"/>
      <c r="M1140" s="157"/>
    </row>
    <row r="1141" spans="2:13" ht="15">
      <c r="B1141" s="394"/>
      <c r="C1141" s="157"/>
      <c r="D1141" s="157"/>
      <c r="E1141" s="157"/>
      <c r="F1141" s="157"/>
      <c r="G1141" s="157"/>
      <c r="H1141" s="157"/>
      <c r="I1141" s="157"/>
      <c r="J1141" s="157"/>
      <c r="K1141" s="157"/>
      <c r="L1141" s="157"/>
      <c r="M1141" s="157"/>
    </row>
    <row r="1142" spans="2:13" ht="15">
      <c r="B1142" s="394"/>
      <c r="C1142" s="157"/>
      <c r="D1142" s="157"/>
      <c r="E1142" s="157"/>
      <c r="F1142" s="157"/>
      <c r="G1142" s="157"/>
      <c r="H1142" s="157"/>
      <c r="I1142" s="157"/>
      <c r="J1142" s="157"/>
      <c r="K1142" s="157"/>
      <c r="L1142" s="157"/>
      <c r="M1142" s="157"/>
    </row>
    <row r="1143" spans="2:13" ht="15">
      <c r="B1143" s="394"/>
      <c r="C1143" s="157"/>
      <c r="D1143" s="157"/>
      <c r="E1143" s="157"/>
      <c r="F1143" s="157"/>
      <c r="G1143" s="157"/>
      <c r="H1143" s="157"/>
      <c r="I1143" s="157"/>
      <c r="J1143" s="157"/>
      <c r="K1143" s="157"/>
      <c r="L1143" s="157"/>
      <c r="M1143" s="157"/>
    </row>
    <row r="1144" spans="2:13" ht="15">
      <c r="B1144" s="394"/>
      <c r="C1144" s="157"/>
      <c r="D1144" s="157"/>
      <c r="E1144" s="157"/>
      <c r="F1144" s="157"/>
      <c r="G1144" s="157"/>
      <c r="H1144" s="157"/>
      <c r="I1144" s="157"/>
      <c r="J1144" s="157"/>
      <c r="K1144" s="157"/>
      <c r="L1144" s="157"/>
      <c r="M1144" s="157"/>
    </row>
    <row r="1145" spans="2:13" ht="15">
      <c r="B1145" s="394"/>
      <c r="C1145" s="157"/>
      <c r="D1145" s="157"/>
      <c r="E1145" s="157"/>
      <c r="F1145" s="157"/>
      <c r="G1145" s="157"/>
      <c r="H1145" s="157"/>
      <c r="I1145" s="157"/>
      <c r="J1145" s="157"/>
      <c r="K1145" s="157"/>
      <c r="L1145" s="157"/>
      <c r="M1145" s="157"/>
    </row>
    <row r="1146" spans="2:13" ht="15">
      <c r="B1146" s="394"/>
      <c r="C1146" s="157"/>
      <c r="D1146" s="157"/>
      <c r="E1146" s="157"/>
      <c r="F1146" s="157"/>
      <c r="G1146" s="157"/>
      <c r="H1146" s="157"/>
      <c r="I1146" s="157"/>
      <c r="J1146" s="157"/>
      <c r="K1146" s="157"/>
      <c r="L1146" s="157"/>
      <c r="M1146" s="157"/>
    </row>
    <row r="1147" spans="2:13" ht="15">
      <c r="B1147" s="394"/>
      <c r="C1147" s="157"/>
      <c r="D1147" s="157"/>
      <c r="E1147" s="157"/>
      <c r="F1147" s="157"/>
      <c r="G1147" s="157"/>
      <c r="H1147" s="157"/>
      <c r="I1147" s="157"/>
      <c r="J1147" s="157"/>
      <c r="K1147" s="157"/>
      <c r="L1147" s="157"/>
      <c r="M1147" s="157"/>
    </row>
    <row r="1148" spans="2:13" ht="15">
      <c r="B1148" s="394"/>
      <c r="C1148" s="157"/>
      <c r="D1148" s="157"/>
      <c r="E1148" s="157"/>
      <c r="F1148" s="157"/>
      <c r="G1148" s="157"/>
      <c r="H1148" s="157"/>
      <c r="I1148" s="157"/>
      <c r="J1148" s="157"/>
      <c r="K1148" s="157"/>
      <c r="L1148" s="157"/>
      <c r="M1148" s="157"/>
    </row>
    <row r="1149" spans="2:13" ht="15">
      <c r="B1149" s="394"/>
      <c r="C1149" s="157"/>
      <c r="D1149" s="157"/>
      <c r="E1149" s="157"/>
      <c r="F1149" s="157"/>
      <c r="G1149" s="157"/>
      <c r="H1149" s="157"/>
      <c r="I1149" s="157"/>
      <c r="J1149" s="157"/>
      <c r="K1149" s="157"/>
      <c r="L1149" s="157"/>
      <c r="M1149" s="157"/>
    </row>
    <row r="1150" spans="2:13" ht="15">
      <c r="B1150" s="394"/>
      <c r="C1150" s="157"/>
      <c r="D1150" s="157"/>
      <c r="E1150" s="157"/>
      <c r="F1150" s="157"/>
      <c r="G1150" s="157"/>
      <c r="H1150" s="157"/>
      <c r="I1150" s="157"/>
      <c r="J1150" s="157"/>
      <c r="K1150" s="157"/>
      <c r="L1150" s="157"/>
      <c r="M1150" s="157"/>
    </row>
    <row r="1151" spans="2:13" ht="15">
      <c r="B1151" s="394"/>
      <c r="C1151" s="157"/>
      <c r="D1151" s="157"/>
      <c r="E1151" s="157"/>
      <c r="F1151" s="157"/>
      <c r="G1151" s="157"/>
      <c r="H1151" s="157"/>
      <c r="I1151" s="157"/>
      <c r="J1151" s="157"/>
      <c r="K1151" s="157"/>
      <c r="L1151" s="157"/>
      <c r="M1151" s="157"/>
    </row>
    <row r="1152" spans="2:13" ht="15">
      <c r="B1152" s="394"/>
      <c r="C1152" s="157"/>
      <c r="D1152" s="157"/>
      <c r="E1152" s="157"/>
      <c r="F1152" s="157"/>
      <c r="G1152" s="157"/>
      <c r="H1152" s="157"/>
      <c r="I1152" s="157"/>
      <c r="J1152" s="157"/>
      <c r="K1152" s="157"/>
      <c r="L1152" s="157"/>
      <c r="M1152" s="157"/>
    </row>
    <row r="1153" spans="2:13" ht="15">
      <c r="B1153" s="394"/>
      <c r="C1153" s="157"/>
      <c r="D1153" s="157"/>
      <c r="E1153" s="157"/>
      <c r="F1153" s="157"/>
      <c r="G1153" s="157"/>
      <c r="H1153" s="157"/>
      <c r="I1153" s="157"/>
      <c r="J1153" s="157"/>
      <c r="K1153" s="157"/>
      <c r="L1153" s="157"/>
      <c r="M1153" s="157"/>
    </row>
    <row r="1154" spans="2:13" ht="15">
      <c r="B1154" s="394"/>
      <c r="C1154" s="157"/>
      <c r="D1154" s="157"/>
      <c r="E1154" s="157"/>
      <c r="F1154" s="157"/>
      <c r="G1154" s="157"/>
      <c r="H1154" s="157"/>
      <c r="I1154" s="157"/>
      <c r="J1154" s="157"/>
      <c r="K1154" s="157"/>
      <c r="L1154" s="157"/>
      <c r="M1154" s="157"/>
    </row>
    <row r="1155" spans="2:13" ht="15">
      <c r="B1155" s="394"/>
      <c r="C1155" s="157"/>
      <c r="D1155" s="157"/>
      <c r="E1155" s="157"/>
      <c r="F1155" s="157"/>
      <c r="G1155" s="157"/>
      <c r="H1155" s="157"/>
      <c r="I1155" s="157"/>
      <c r="J1155" s="157"/>
      <c r="K1155" s="157"/>
      <c r="L1155" s="157"/>
      <c r="M1155" s="157"/>
    </row>
    <row r="1156" spans="2:13" ht="15">
      <c r="B1156" s="394"/>
      <c r="C1156" s="157"/>
      <c r="D1156" s="157"/>
      <c r="E1156" s="157"/>
      <c r="F1156" s="157"/>
      <c r="G1156" s="157"/>
      <c r="H1156" s="157"/>
      <c r="I1156" s="157"/>
      <c r="J1156" s="157"/>
      <c r="K1156" s="157"/>
      <c r="L1156" s="157"/>
      <c r="M1156" s="157"/>
    </row>
    <row r="1157" spans="2:13" ht="15">
      <c r="B1157" s="394"/>
      <c r="C1157" s="157"/>
      <c r="D1157" s="157"/>
      <c r="E1157" s="157"/>
      <c r="F1157" s="157"/>
      <c r="G1157" s="157"/>
      <c r="H1157" s="157"/>
      <c r="I1157" s="157"/>
      <c r="J1157" s="157"/>
      <c r="K1157" s="157"/>
      <c r="L1157" s="157"/>
      <c r="M1157" s="157"/>
    </row>
    <row r="1158" spans="2:13" ht="15">
      <c r="B1158" s="394"/>
      <c r="C1158" s="157"/>
      <c r="D1158" s="157"/>
      <c r="E1158" s="157"/>
      <c r="F1158" s="157"/>
      <c r="G1158" s="157"/>
      <c r="H1158" s="157"/>
      <c r="I1158" s="157"/>
      <c r="J1158" s="157"/>
      <c r="K1158" s="157"/>
      <c r="L1158" s="157"/>
      <c r="M1158" s="157"/>
    </row>
    <row r="1159" spans="2:13" ht="15">
      <c r="B1159" s="394"/>
      <c r="C1159" s="157"/>
      <c r="D1159" s="157"/>
      <c r="E1159" s="157"/>
      <c r="F1159" s="157"/>
      <c r="G1159" s="157"/>
      <c r="H1159" s="157"/>
      <c r="I1159" s="157"/>
      <c r="J1159" s="157"/>
      <c r="K1159" s="157"/>
      <c r="L1159" s="157"/>
      <c r="M1159" s="157"/>
    </row>
    <row r="1160" spans="2:13" ht="15">
      <c r="B1160" s="394"/>
      <c r="C1160" s="157"/>
      <c r="D1160" s="157"/>
      <c r="E1160" s="157"/>
      <c r="F1160" s="157"/>
      <c r="G1160" s="157"/>
      <c r="H1160" s="157"/>
      <c r="I1160" s="157"/>
      <c r="J1160" s="157"/>
      <c r="K1160" s="157"/>
      <c r="L1160" s="157"/>
      <c r="M1160" s="157"/>
    </row>
    <row r="1161" spans="2:13" ht="15">
      <c r="B1161" s="394"/>
      <c r="C1161" s="157"/>
      <c r="D1161" s="157"/>
      <c r="E1161" s="157"/>
      <c r="F1161" s="157"/>
      <c r="G1161" s="157"/>
      <c r="H1161" s="157"/>
      <c r="I1161" s="157"/>
      <c r="J1161" s="157"/>
      <c r="K1161" s="157"/>
      <c r="L1161" s="157"/>
      <c r="M1161" s="157"/>
    </row>
    <row r="1162" spans="2:13" ht="15">
      <c r="B1162" s="394"/>
      <c r="C1162" s="157"/>
      <c r="D1162" s="157"/>
      <c r="E1162" s="157"/>
      <c r="F1162" s="157"/>
      <c r="G1162" s="157"/>
      <c r="H1162" s="157"/>
      <c r="I1162" s="157"/>
      <c r="J1162" s="157"/>
      <c r="K1162" s="157"/>
      <c r="L1162" s="157"/>
      <c r="M1162" s="157"/>
    </row>
    <row r="1163" spans="2:13" ht="15">
      <c r="B1163" s="394"/>
      <c r="C1163" s="157"/>
      <c r="D1163" s="157"/>
      <c r="E1163" s="157"/>
      <c r="F1163" s="157"/>
      <c r="G1163" s="157"/>
      <c r="H1163" s="157"/>
      <c r="I1163" s="157"/>
      <c r="J1163" s="157"/>
      <c r="K1163" s="157"/>
      <c r="L1163" s="157"/>
      <c r="M1163" s="157"/>
    </row>
    <row r="1164" spans="2:13" ht="15">
      <c r="B1164" s="394"/>
      <c r="C1164" s="157"/>
      <c r="D1164" s="157"/>
      <c r="E1164" s="157"/>
      <c r="F1164" s="157"/>
      <c r="G1164" s="157"/>
      <c r="H1164" s="157"/>
      <c r="I1164" s="157"/>
      <c r="J1164" s="157"/>
      <c r="K1164" s="157"/>
      <c r="L1164" s="157"/>
      <c r="M1164" s="157"/>
    </row>
    <row r="1165" spans="2:13" ht="15">
      <c r="B1165" s="394"/>
      <c r="C1165" s="157"/>
      <c r="D1165" s="157"/>
      <c r="E1165" s="157"/>
      <c r="F1165" s="157"/>
      <c r="G1165" s="157"/>
      <c r="H1165" s="157"/>
      <c r="I1165" s="157"/>
      <c r="J1165" s="157"/>
      <c r="K1165" s="157"/>
      <c r="L1165" s="157"/>
      <c r="M1165" s="157"/>
    </row>
    <row r="1166" spans="2:13" ht="15">
      <c r="B1166" s="394"/>
      <c r="C1166" s="157"/>
      <c r="D1166" s="157"/>
      <c r="E1166" s="157"/>
      <c r="F1166" s="157"/>
      <c r="G1166" s="157"/>
      <c r="H1166" s="157"/>
      <c r="I1166" s="157"/>
      <c r="J1166" s="157"/>
      <c r="K1166" s="157"/>
      <c r="L1166" s="157"/>
      <c r="M1166" s="157"/>
    </row>
    <row r="1167" spans="2:13" ht="15">
      <c r="B1167" s="394"/>
      <c r="C1167" s="157"/>
      <c r="D1167" s="157"/>
      <c r="E1167" s="157"/>
      <c r="F1167" s="157"/>
      <c r="G1167" s="157"/>
      <c r="H1167" s="157"/>
      <c r="I1167" s="157"/>
      <c r="J1167" s="157"/>
      <c r="K1167" s="157"/>
      <c r="L1167" s="157"/>
      <c r="M1167" s="157"/>
    </row>
    <row r="1168" spans="2:13" ht="15">
      <c r="B1168" s="394"/>
      <c r="C1168" s="157"/>
      <c r="D1168" s="157"/>
      <c r="E1168" s="157"/>
      <c r="F1168" s="157"/>
      <c r="G1168" s="157"/>
      <c r="H1168" s="157"/>
      <c r="I1168" s="157"/>
      <c r="J1168" s="157"/>
      <c r="K1168" s="157"/>
      <c r="L1168" s="157"/>
      <c r="M1168" s="157"/>
    </row>
    <row r="1169" spans="2:13" ht="15">
      <c r="B1169" s="394"/>
      <c r="C1169" s="157"/>
      <c r="D1169" s="157"/>
      <c r="E1169" s="157"/>
      <c r="F1169" s="157"/>
      <c r="G1169" s="157"/>
      <c r="H1169" s="157"/>
      <c r="I1169" s="157"/>
      <c r="J1169" s="157"/>
      <c r="K1169" s="157"/>
      <c r="L1169" s="157"/>
      <c r="M1169" s="157"/>
    </row>
    <row r="1170" spans="2:13" ht="15">
      <c r="B1170" s="394"/>
      <c r="C1170" s="157"/>
      <c r="D1170" s="157"/>
      <c r="E1170" s="157"/>
      <c r="F1170" s="157"/>
      <c r="G1170" s="157"/>
      <c r="H1170" s="157"/>
      <c r="I1170" s="157"/>
      <c r="J1170" s="157"/>
      <c r="K1170" s="157"/>
      <c r="L1170" s="157"/>
      <c r="M1170" s="157"/>
    </row>
    <row r="1171" spans="2:13" ht="15">
      <c r="B1171" s="394"/>
      <c r="C1171" s="157"/>
      <c r="D1171" s="157"/>
      <c r="E1171" s="157"/>
      <c r="F1171" s="157"/>
      <c r="G1171" s="157"/>
      <c r="H1171" s="157"/>
      <c r="I1171" s="157"/>
      <c r="J1171" s="157"/>
      <c r="K1171" s="157"/>
      <c r="L1171" s="157"/>
      <c r="M1171" s="157"/>
    </row>
    <row r="1172" spans="2:13" ht="15">
      <c r="B1172" s="394"/>
      <c r="C1172" s="157"/>
      <c r="D1172" s="157"/>
      <c r="E1172" s="157"/>
      <c r="F1172" s="157"/>
      <c r="G1172" s="157"/>
      <c r="H1172" s="157"/>
      <c r="I1172" s="157"/>
      <c r="J1172" s="157"/>
      <c r="K1172" s="157"/>
      <c r="L1172" s="157"/>
      <c r="M1172" s="157"/>
    </row>
    <row r="1173" spans="2:13" ht="15">
      <c r="B1173" s="394"/>
      <c r="C1173" s="157"/>
      <c r="D1173" s="157"/>
      <c r="E1173" s="157"/>
      <c r="F1173" s="157"/>
      <c r="G1173" s="157"/>
      <c r="H1173" s="157"/>
      <c r="I1173" s="157"/>
      <c r="J1173" s="157"/>
      <c r="K1173" s="157"/>
      <c r="L1173" s="157"/>
      <c r="M1173" s="157"/>
    </row>
    <row r="1174" spans="2:13" ht="15">
      <c r="B1174" s="394"/>
      <c r="C1174" s="157"/>
      <c r="D1174" s="157"/>
      <c r="E1174" s="157"/>
      <c r="F1174" s="157"/>
      <c r="G1174" s="157"/>
      <c r="H1174" s="157"/>
      <c r="I1174" s="157"/>
      <c r="J1174" s="157"/>
      <c r="K1174" s="157"/>
      <c r="L1174" s="157"/>
      <c r="M1174" s="157"/>
    </row>
    <row r="1175" spans="2:13" ht="15">
      <c r="B1175" s="394"/>
      <c r="C1175" s="157"/>
      <c r="D1175" s="157"/>
      <c r="E1175" s="157"/>
      <c r="F1175" s="157"/>
      <c r="G1175" s="157"/>
      <c r="H1175" s="157"/>
      <c r="I1175" s="157"/>
      <c r="J1175" s="157"/>
      <c r="K1175" s="157"/>
      <c r="L1175" s="157"/>
      <c r="M1175" s="157"/>
    </row>
    <row r="1176" spans="2:13" ht="15">
      <c r="B1176" s="394"/>
      <c r="C1176" s="157"/>
      <c r="D1176" s="157"/>
      <c r="E1176" s="157"/>
      <c r="F1176" s="157"/>
      <c r="G1176" s="157"/>
      <c r="H1176" s="157"/>
      <c r="I1176" s="157"/>
      <c r="J1176" s="157"/>
      <c r="K1176" s="157"/>
      <c r="L1176" s="157"/>
      <c r="M1176" s="157"/>
    </row>
    <row r="1177" spans="2:13" ht="15">
      <c r="B1177" s="394"/>
      <c r="C1177" s="157"/>
      <c r="D1177" s="157"/>
      <c r="E1177" s="157"/>
      <c r="F1177" s="157"/>
      <c r="G1177" s="157"/>
      <c r="H1177" s="157"/>
      <c r="I1177" s="157"/>
      <c r="J1177" s="157"/>
      <c r="K1177" s="157"/>
      <c r="L1177" s="157"/>
      <c r="M1177" s="157"/>
    </row>
    <row r="1178" spans="2:13" ht="15">
      <c r="B1178" s="394"/>
      <c r="C1178" s="157"/>
      <c r="D1178" s="157"/>
      <c r="E1178" s="157"/>
      <c r="F1178" s="157"/>
      <c r="G1178" s="157"/>
      <c r="H1178" s="157"/>
      <c r="I1178" s="157"/>
      <c r="J1178" s="157"/>
      <c r="K1178" s="157"/>
      <c r="L1178" s="157"/>
      <c r="M1178" s="157"/>
    </row>
    <row r="1179" spans="2:13" ht="15">
      <c r="B1179" s="394"/>
      <c r="C1179" s="157"/>
      <c r="D1179" s="157"/>
      <c r="E1179" s="157"/>
      <c r="F1179" s="157"/>
      <c r="G1179" s="157"/>
      <c r="H1179" s="157"/>
      <c r="I1179" s="157"/>
      <c r="J1179" s="157"/>
      <c r="K1179" s="157"/>
      <c r="L1179" s="157"/>
      <c r="M1179" s="157"/>
    </row>
    <row r="1180" spans="2:13" ht="15">
      <c r="B1180" s="394"/>
      <c r="C1180" s="157"/>
      <c r="D1180" s="157"/>
      <c r="E1180" s="157"/>
      <c r="F1180" s="157"/>
      <c r="G1180" s="157"/>
      <c r="H1180" s="157"/>
      <c r="I1180" s="157"/>
      <c r="J1180" s="157"/>
      <c r="K1180" s="157"/>
      <c r="L1180" s="157"/>
      <c r="M1180" s="157"/>
    </row>
    <row r="1181" spans="2:13" ht="15">
      <c r="B1181" s="394"/>
      <c r="C1181" s="157"/>
      <c r="D1181" s="157"/>
      <c r="E1181" s="157"/>
      <c r="F1181" s="157"/>
      <c r="G1181" s="157"/>
      <c r="H1181" s="157"/>
      <c r="I1181" s="157"/>
      <c r="J1181" s="157"/>
      <c r="K1181" s="157"/>
      <c r="L1181" s="157"/>
      <c r="M1181" s="157"/>
    </row>
    <row r="1182" spans="2:13" ht="15">
      <c r="B1182" s="394"/>
      <c r="C1182" s="157"/>
      <c r="D1182" s="157"/>
      <c r="E1182" s="157"/>
      <c r="F1182" s="157"/>
      <c r="G1182" s="157"/>
      <c r="H1182" s="157"/>
      <c r="I1182" s="157"/>
      <c r="J1182" s="157"/>
      <c r="K1182" s="157"/>
      <c r="L1182" s="157"/>
      <c r="M1182" s="157"/>
    </row>
    <row r="1183" spans="2:13" ht="15">
      <c r="B1183" s="394"/>
      <c r="C1183" s="157"/>
      <c r="D1183" s="157"/>
      <c r="E1183" s="157"/>
      <c r="F1183" s="157"/>
      <c r="G1183" s="157"/>
      <c r="H1183" s="157"/>
      <c r="I1183" s="157"/>
      <c r="J1183" s="157"/>
      <c r="K1183" s="157"/>
      <c r="L1183" s="157"/>
      <c r="M1183" s="157"/>
    </row>
    <row r="1184" spans="2:13" ht="15">
      <c r="B1184" s="394"/>
      <c r="C1184" s="157"/>
      <c r="D1184" s="157"/>
      <c r="E1184" s="157"/>
      <c r="F1184" s="157"/>
      <c r="G1184" s="157"/>
      <c r="H1184" s="157"/>
      <c r="I1184" s="157"/>
      <c r="J1184" s="157"/>
      <c r="K1184" s="157"/>
      <c r="L1184" s="157"/>
      <c r="M1184" s="157"/>
    </row>
    <row r="1185" spans="2:13" ht="15">
      <c r="B1185" s="394"/>
      <c r="C1185" s="157"/>
      <c r="D1185" s="157"/>
      <c r="E1185" s="157"/>
      <c r="F1185" s="157"/>
      <c r="G1185" s="157"/>
      <c r="H1185" s="157"/>
      <c r="I1185" s="157"/>
      <c r="J1185" s="157"/>
      <c r="K1185" s="157"/>
      <c r="L1185" s="157"/>
      <c r="M1185" s="157"/>
    </row>
    <row r="1186" spans="2:13" ht="15">
      <c r="B1186" s="394"/>
      <c r="C1186" s="157"/>
      <c r="D1186" s="157"/>
      <c r="E1186" s="157"/>
      <c r="F1186" s="157"/>
      <c r="G1186" s="157"/>
      <c r="H1186" s="157"/>
      <c r="I1186" s="157"/>
      <c r="J1186" s="157"/>
      <c r="K1186" s="157"/>
      <c r="L1186" s="157"/>
      <c r="M1186" s="157"/>
    </row>
    <row r="1187" spans="2:13" ht="15">
      <c r="B1187" s="394"/>
      <c r="C1187" s="157"/>
      <c r="D1187" s="157"/>
      <c r="E1187" s="157"/>
      <c r="F1187" s="157"/>
      <c r="G1187" s="157"/>
      <c r="H1187" s="157"/>
      <c r="I1187" s="157"/>
      <c r="J1187" s="157"/>
      <c r="K1187" s="157"/>
      <c r="L1187" s="157"/>
      <c r="M1187" s="157"/>
    </row>
    <row r="1188" spans="2:13" ht="15">
      <c r="B1188" s="394"/>
      <c r="C1188" s="157"/>
      <c r="D1188" s="157"/>
      <c r="E1188" s="157"/>
      <c r="F1188" s="157"/>
      <c r="G1188" s="157"/>
      <c r="H1188" s="157"/>
      <c r="I1188" s="157"/>
      <c r="J1188" s="157"/>
      <c r="K1188" s="157"/>
      <c r="L1188" s="157"/>
      <c r="M1188" s="157"/>
    </row>
    <row r="1189" spans="2:13" ht="15">
      <c r="B1189" s="394"/>
      <c r="C1189" s="157"/>
      <c r="D1189" s="157"/>
      <c r="E1189" s="157"/>
      <c r="F1189" s="157"/>
      <c r="G1189" s="157"/>
      <c r="H1189" s="157"/>
      <c r="I1189" s="157"/>
      <c r="J1189" s="157"/>
      <c r="K1189" s="157"/>
      <c r="L1189" s="157"/>
      <c r="M1189" s="157"/>
    </row>
    <row r="1190" spans="2:13" ht="15">
      <c r="B1190" s="394"/>
      <c r="C1190" s="157"/>
      <c r="D1190" s="157"/>
      <c r="E1190" s="157"/>
      <c r="F1190" s="157"/>
      <c r="G1190" s="157"/>
      <c r="H1190" s="157"/>
      <c r="I1190" s="157"/>
      <c r="J1190" s="157"/>
      <c r="K1190" s="157"/>
      <c r="L1190" s="157"/>
      <c r="M1190" s="157"/>
    </row>
    <row r="1191" spans="2:13" ht="15">
      <c r="B1191" s="394"/>
      <c r="C1191" s="157"/>
      <c r="D1191" s="157"/>
      <c r="E1191" s="157"/>
      <c r="F1191" s="157"/>
      <c r="G1191" s="157"/>
      <c r="H1191" s="157"/>
      <c r="I1191" s="157"/>
      <c r="J1191" s="157"/>
      <c r="K1191" s="157"/>
      <c r="L1191" s="157"/>
      <c r="M1191" s="157"/>
    </row>
    <row r="1192" spans="2:13" ht="15">
      <c r="B1192" s="394"/>
      <c r="C1192" s="157"/>
      <c r="D1192" s="157"/>
      <c r="E1192" s="157"/>
      <c r="F1192" s="157"/>
      <c r="G1192" s="157"/>
      <c r="H1192" s="157"/>
      <c r="I1192" s="157"/>
      <c r="J1192" s="157"/>
      <c r="K1192" s="157"/>
      <c r="L1192" s="157"/>
      <c r="M1192" s="157"/>
    </row>
    <row r="1193" spans="2:13" ht="15">
      <c r="B1193" s="394"/>
      <c r="C1193" s="157"/>
      <c r="D1193" s="157"/>
      <c r="E1193" s="157"/>
      <c r="F1193" s="157"/>
      <c r="G1193" s="157"/>
      <c r="H1193" s="157"/>
      <c r="I1193" s="157"/>
      <c r="J1193" s="157"/>
      <c r="K1193" s="157"/>
      <c r="L1193" s="157"/>
      <c r="M1193" s="157"/>
    </row>
    <row r="1194" spans="2:13" ht="15">
      <c r="B1194" s="394"/>
      <c r="C1194" s="157"/>
      <c r="D1194" s="157"/>
      <c r="E1194" s="157"/>
      <c r="F1194" s="157"/>
      <c r="G1194" s="157"/>
      <c r="H1194" s="157"/>
      <c r="I1194" s="157"/>
      <c r="J1194" s="157"/>
      <c r="K1194" s="157"/>
      <c r="L1194" s="157"/>
      <c r="M1194" s="157"/>
    </row>
    <row r="1195" spans="2:13" ht="15">
      <c r="B1195" s="394"/>
      <c r="C1195" s="157"/>
      <c r="D1195" s="157"/>
      <c r="E1195" s="157"/>
      <c r="F1195" s="157"/>
      <c r="G1195" s="157"/>
      <c r="H1195" s="157"/>
      <c r="I1195" s="157"/>
      <c r="J1195" s="157"/>
      <c r="K1195" s="157"/>
      <c r="L1195" s="157"/>
      <c r="M1195" s="157"/>
    </row>
    <row r="1196" spans="2:13" ht="15">
      <c r="B1196" s="394"/>
      <c r="C1196" s="157"/>
      <c r="D1196" s="157"/>
      <c r="E1196" s="157"/>
      <c r="F1196" s="157"/>
      <c r="G1196" s="157"/>
      <c r="H1196" s="157"/>
      <c r="I1196" s="157"/>
      <c r="J1196" s="157"/>
      <c r="K1196" s="157"/>
      <c r="L1196" s="157"/>
      <c r="M1196" s="157"/>
    </row>
    <row r="1197" spans="2:13" ht="15">
      <c r="B1197" s="394"/>
      <c r="C1197" s="157"/>
      <c r="D1197" s="157"/>
      <c r="E1197" s="157"/>
      <c r="F1197" s="157"/>
      <c r="G1197" s="157"/>
      <c r="H1197" s="157"/>
      <c r="I1197" s="157"/>
      <c r="J1197" s="157"/>
      <c r="K1197" s="157"/>
      <c r="L1197" s="157"/>
      <c r="M1197" s="157"/>
    </row>
    <row r="1198" spans="2:13" ht="15">
      <c r="B1198" s="394"/>
      <c r="C1198" s="157"/>
      <c r="D1198" s="157"/>
      <c r="E1198" s="157"/>
      <c r="F1198" s="157"/>
      <c r="G1198" s="157"/>
      <c r="H1198" s="157"/>
      <c r="I1198" s="157"/>
      <c r="J1198" s="157"/>
      <c r="K1198" s="157"/>
      <c r="L1198" s="157"/>
      <c r="M1198" s="157"/>
    </row>
    <row r="1199" spans="2:13" ht="15">
      <c r="B1199" s="394"/>
      <c r="C1199" s="157"/>
      <c r="D1199" s="157"/>
      <c r="E1199" s="157"/>
      <c r="F1199" s="157"/>
      <c r="G1199" s="157"/>
      <c r="H1199" s="157"/>
      <c r="I1199" s="157"/>
      <c r="J1199" s="157"/>
      <c r="K1199" s="157"/>
      <c r="L1199" s="157"/>
      <c r="M1199" s="157"/>
    </row>
    <row r="1200" spans="2:13" ht="15">
      <c r="B1200" s="394"/>
      <c r="C1200" s="157"/>
      <c r="D1200" s="157"/>
      <c r="E1200" s="157"/>
      <c r="F1200" s="157"/>
      <c r="G1200" s="157"/>
      <c r="H1200" s="157"/>
      <c r="I1200" s="157"/>
      <c r="J1200" s="157"/>
      <c r="K1200" s="157"/>
      <c r="L1200" s="157"/>
      <c r="M1200" s="157"/>
    </row>
    <row r="1201" spans="2:13" ht="15">
      <c r="B1201" s="394"/>
      <c r="C1201" s="157"/>
      <c r="D1201" s="157"/>
      <c r="E1201" s="157"/>
      <c r="F1201" s="157"/>
      <c r="G1201" s="157"/>
      <c r="H1201" s="157"/>
      <c r="I1201" s="157"/>
      <c r="J1201" s="157"/>
      <c r="K1201" s="157"/>
      <c r="L1201" s="157"/>
      <c r="M1201" s="157"/>
    </row>
    <row r="1202" spans="2:13" ht="15">
      <c r="B1202" s="394"/>
      <c r="C1202" s="157"/>
      <c r="D1202" s="157"/>
      <c r="E1202" s="157"/>
      <c r="F1202" s="157"/>
      <c r="G1202" s="157"/>
      <c r="H1202" s="157"/>
      <c r="I1202" s="157"/>
      <c r="J1202" s="157"/>
      <c r="K1202" s="157"/>
      <c r="L1202" s="157"/>
      <c r="M1202" s="157"/>
    </row>
    <row r="1203" spans="2:13" ht="15">
      <c r="B1203" s="394"/>
      <c r="C1203" s="157"/>
      <c r="D1203" s="157"/>
      <c r="E1203" s="157"/>
      <c r="F1203" s="157"/>
      <c r="G1203" s="157"/>
      <c r="H1203" s="157"/>
      <c r="I1203" s="157"/>
      <c r="J1203" s="157"/>
      <c r="K1203" s="157"/>
      <c r="L1203" s="157"/>
      <c r="M1203" s="157"/>
    </row>
    <row r="1204" spans="2:13" ht="15">
      <c r="B1204" s="394"/>
      <c r="C1204" s="157"/>
      <c r="D1204" s="157"/>
      <c r="E1204" s="157"/>
      <c r="F1204" s="157"/>
      <c r="G1204" s="157"/>
      <c r="H1204" s="157"/>
      <c r="I1204" s="157"/>
      <c r="J1204" s="157"/>
      <c r="K1204" s="157"/>
      <c r="L1204" s="157"/>
      <c r="M1204" s="157"/>
    </row>
    <row r="1205" spans="2:13" ht="15">
      <c r="B1205" s="394"/>
      <c r="C1205" s="157"/>
      <c r="D1205" s="157"/>
      <c r="E1205" s="157"/>
      <c r="F1205" s="157"/>
      <c r="G1205" s="157"/>
      <c r="H1205" s="157"/>
      <c r="I1205" s="157"/>
      <c r="J1205" s="157"/>
      <c r="K1205" s="157"/>
      <c r="L1205" s="157"/>
      <c r="M1205" s="157"/>
    </row>
    <row r="1206" spans="2:13" ht="15">
      <c r="B1206" s="394"/>
      <c r="C1206" s="157"/>
      <c r="D1206" s="157"/>
      <c r="E1206" s="157"/>
      <c r="F1206" s="157"/>
      <c r="G1206" s="157"/>
      <c r="H1206" s="157"/>
      <c r="I1206" s="157"/>
      <c r="J1206" s="157"/>
      <c r="K1206" s="157"/>
      <c r="L1206" s="157"/>
      <c r="M1206" s="157"/>
    </row>
    <row r="1207" spans="2:13" ht="15">
      <c r="B1207" s="394"/>
      <c r="C1207" s="157"/>
      <c r="D1207" s="157"/>
      <c r="E1207" s="157"/>
      <c r="F1207" s="157"/>
      <c r="G1207" s="157"/>
      <c r="H1207" s="157"/>
      <c r="I1207" s="157"/>
      <c r="J1207" s="157"/>
      <c r="K1207" s="157"/>
      <c r="L1207" s="157"/>
      <c r="M1207" s="157"/>
    </row>
    <row r="1208" spans="2:13" ht="15">
      <c r="B1208" s="394"/>
      <c r="C1208" s="157"/>
      <c r="D1208" s="157"/>
      <c r="E1208" s="157"/>
      <c r="F1208" s="157"/>
      <c r="G1208" s="157"/>
      <c r="H1208" s="157"/>
      <c r="I1208" s="157"/>
      <c r="J1208" s="157"/>
      <c r="K1208" s="157"/>
      <c r="L1208" s="157"/>
      <c r="M1208" s="157"/>
    </row>
    <row r="1209" spans="2:13" ht="15">
      <c r="B1209" s="394"/>
      <c r="C1209" s="157"/>
      <c r="D1209" s="157"/>
      <c r="E1209" s="157"/>
      <c r="F1209" s="157"/>
      <c r="G1209" s="157"/>
      <c r="H1209" s="157"/>
      <c r="I1209" s="157"/>
      <c r="J1209" s="157"/>
      <c r="K1209" s="157"/>
      <c r="L1209" s="157"/>
      <c r="M1209" s="157"/>
    </row>
    <row r="1210" spans="2:13" ht="15">
      <c r="B1210" s="394"/>
      <c r="C1210" s="157"/>
      <c r="D1210" s="157"/>
      <c r="E1210" s="157"/>
      <c r="F1210" s="157"/>
      <c r="G1210" s="157"/>
      <c r="H1210" s="157"/>
      <c r="I1210" s="157"/>
      <c r="J1210" s="157"/>
      <c r="K1210" s="157"/>
      <c r="L1210" s="157"/>
      <c r="M1210" s="157"/>
    </row>
    <row r="1211" spans="2:13" ht="15">
      <c r="B1211" s="394"/>
      <c r="C1211" s="157"/>
      <c r="D1211" s="157"/>
      <c r="E1211" s="157"/>
      <c r="F1211" s="157"/>
      <c r="G1211" s="157"/>
      <c r="H1211" s="157"/>
      <c r="I1211" s="157"/>
      <c r="J1211" s="157"/>
      <c r="K1211" s="157"/>
      <c r="L1211" s="157"/>
      <c r="M1211" s="157"/>
    </row>
    <row r="1212" spans="2:13" ht="15">
      <c r="B1212" s="394"/>
      <c r="C1212" s="157"/>
      <c r="D1212" s="157"/>
      <c r="E1212" s="157"/>
      <c r="F1212" s="157"/>
      <c r="G1212" s="157"/>
      <c r="H1212" s="157"/>
      <c r="I1212" s="157"/>
      <c r="J1212" s="157"/>
      <c r="K1212" s="157"/>
      <c r="L1212" s="157"/>
      <c r="M1212" s="157"/>
    </row>
    <row r="1213" spans="2:13" ht="15">
      <c r="B1213" s="394"/>
      <c r="C1213" s="157"/>
      <c r="D1213" s="157"/>
      <c r="E1213" s="157"/>
      <c r="F1213" s="157"/>
      <c r="G1213" s="157"/>
      <c r="H1213" s="157"/>
      <c r="I1213" s="157"/>
      <c r="J1213" s="157"/>
      <c r="K1213" s="157"/>
      <c r="L1213" s="157"/>
      <c r="M1213" s="157"/>
    </row>
    <row r="1214" spans="2:13" ht="15">
      <c r="B1214" s="394"/>
      <c r="C1214" s="157"/>
      <c r="D1214" s="157"/>
      <c r="E1214" s="157"/>
      <c r="F1214" s="157"/>
      <c r="G1214" s="157"/>
      <c r="H1214" s="157"/>
      <c r="I1214" s="157"/>
      <c r="J1214" s="157"/>
      <c r="K1214" s="157"/>
      <c r="L1214" s="157"/>
      <c r="M1214" s="157"/>
    </row>
    <row r="1215" spans="2:13" ht="15">
      <c r="B1215" s="394"/>
      <c r="C1215" s="157"/>
      <c r="D1215" s="157"/>
      <c r="E1215" s="157"/>
      <c r="F1215" s="157"/>
      <c r="G1215" s="157"/>
      <c r="H1215" s="157"/>
      <c r="I1215" s="157"/>
      <c r="J1215" s="157"/>
      <c r="K1215" s="157"/>
      <c r="L1215" s="157"/>
      <c r="M1215" s="157"/>
    </row>
    <row r="1216" spans="2:13" ht="15">
      <c r="B1216" s="394"/>
      <c r="C1216" s="157"/>
      <c r="D1216" s="157"/>
      <c r="E1216" s="157"/>
      <c r="F1216" s="157"/>
      <c r="G1216" s="157"/>
      <c r="H1216" s="157"/>
      <c r="I1216" s="157"/>
      <c r="J1216" s="157"/>
      <c r="K1216" s="157"/>
      <c r="L1216" s="157"/>
      <c r="M1216" s="157"/>
    </row>
    <row r="1217" spans="2:13" ht="15">
      <c r="B1217" s="394"/>
      <c r="C1217" s="157"/>
      <c r="D1217" s="157"/>
      <c r="E1217" s="157"/>
      <c r="F1217" s="157"/>
      <c r="G1217" s="157"/>
      <c r="H1217" s="157"/>
      <c r="I1217" s="157"/>
      <c r="J1217" s="157"/>
      <c r="K1217" s="157"/>
      <c r="L1217" s="157"/>
      <c r="M1217" s="157"/>
    </row>
    <row r="1218" spans="2:13" ht="15">
      <c r="B1218" s="394"/>
      <c r="C1218" s="157"/>
      <c r="D1218" s="157"/>
      <c r="E1218" s="157"/>
      <c r="F1218" s="157"/>
      <c r="G1218" s="157"/>
      <c r="H1218" s="157"/>
      <c r="I1218" s="157"/>
      <c r="J1218" s="157"/>
      <c r="K1218" s="157"/>
      <c r="L1218" s="157"/>
      <c r="M1218" s="157"/>
    </row>
    <row r="1219" spans="2:13" ht="15">
      <c r="B1219" s="394"/>
      <c r="C1219" s="157"/>
      <c r="D1219" s="157"/>
      <c r="E1219" s="157"/>
      <c r="F1219" s="157"/>
      <c r="G1219" s="157"/>
      <c r="H1219" s="157"/>
      <c r="I1219" s="157"/>
      <c r="J1219" s="157"/>
      <c r="K1219" s="157"/>
      <c r="L1219" s="157"/>
      <c r="M1219" s="157"/>
    </row>
    <row r="1220" spans="2:13" ht="15">
      <c r="B1220" s="394"/>
      <c r="C1220" s="157"/>
      <c r="D1220" s="157"/>
      <c r="E1220" s="157"/>
      <c r="F1220" s="157"/>
      <c r="G1220" s="157"/>
      <c r="H1220" s="157"/>
      <c r="I1220" s="157"/>
      <c r="J1220" s="157"/>
      <c r="K1220" s="157"/>
      <c r="L1220" s="157"/>
      <c r="M1220" s="157"/>
    </row>
    <row r="1221" spans="2:13" ht="15">
      <c r="B1221" s="394"/>
      <c r="C1221" s="157"/>
      <c r="D1221" s="157"/>
      <c r="E1221" s="157"/>
      <c r="F1221" s="157"/>
      <c r="G1221" s="157"/>
      <c r="H1221" s="157"/>
      <c r="I1221" s="157"/>
      <c r="J1221" s="157"/>
      <c r="K1221" s="157"/>
      <c r="L1221" s="157"/>
      <c r="M1221" s="157"/>
    </row>
    <row r="1222" spans="2:13" ht="15">
      <c r="B1222" s="394"/>
      <c r="C1222" s="157"/>
      <c r="D1222" s="157"/>
      <c r="E1222" s="157"/>
      <c r="F1222" s="157"/>
      <c r="G1222" s="157"/>
      <c r="H1222" s="157"/>
      <c r="I1222" s="157"/>
      <c r="J1222" s="157"/>
      <c r="K1222" s="157"/>
      <c r="L1222" s="157"/>
      <c r="M1222" s="157"/>
    </row>
    <row r="1223" spans="2:13" ht="15">
      <c r="B1223" s="394"/>
      <c r="C1223" s="157"/>
      <c r="D1223" s="157"/>
      <c r="E1223" s="157"/>
      <c r="F1223" s="157"/>
      <c r="G1223" s="157"/>
      <c r="H1223" s="157"/>
      <c r="I1223" s="157"/>
      <c r="J1223" s="157"/>
      <c r="K1223" s="157"/>
      <c r="L1223" s="157"/>
      <c r="M1223" s="157"/>
    </row>
    <row r="1224" spans="2:13" ht="15">
      <c r="B1224" s="394"/>
      <c r="C1224" s="157"/>
      <c r="D1224" s="157"/>
      <c r="E1224" s="157"/>
      <c r="F1224" s="157"/>
      <c r="G1224" s="157"/>
      <c r="H1224" s="157"/>
      <c r="I1224" s="157"/>
      <c r="J1224" s="157"/>
      <c r="K1224" s="157"/>
      <c r="L1224" s="157"/>
      <c r="M1224" s="157"/>
    </row>
    <row r="1225" spans="9:10" ht="15">
      <c r="I1225" s="157"/>
      <c r="J1225" s="157"/>
    </row>
  </sheetData>
  <sheetProtection/>
  <mergeCells count="22">
    <mergeCell ref="D362:K362"/>
    <mergeCell ref="D354:J354"/>
    <mergeCell ref="D302:K304"/>
    <mergeCell ref="D319:K319"/>
    <mergeCell ref="D306:K308"/>
    <mergeCell ref="D356:J356"/>
    <mergeCell ref="D360:K360"/>
    <mergeCell ref="D340:J340"/>
    <mergeCell ref="D348:J350"/>
    <mergeCell ref="D347:J347"/>
    <mergeCell ref="B19:I20"/>
    <mergeCell ref="I55:J55"/>
    <mergeCell ref="I58:J58"/>
    <mergeCell ref="I119:J119"/>
    <mergeCell ref="I122:J122"/>
    <mergeCell ref="D37:L37"/>
    <mergeCell ref="G246:H246"/>
    <mergeCell ref="G229:H229"/>
    <mergeCell ref="D278:K279"/>
    <mergeCell ref="D309:J310"/>
    <mergeCell ref="D326:L328"/>
    <mergeCell ref="D315:J317"/>
  </mergeCells>
  <printOptions/>
  <pageMargins left="0.26" right="1.28" top="1" bottom="1" header="0.86" footer="0.5"/>
  <pageSetup fitToHeight="5" horizontalDpi="600" verticalDpi="600" orientation="portrait" scale="35" r:id="rId1"/>
  <headerFooter alignWithMargins="0">
    <oddHeader>&amp;R&amp;"Arial,Bold"Formula Rate 
&amp;A
Page &amp;P of &amp;N</oddHeader>
  </headerFooter>
  <rowBreaks count="4" manualBreakCount="4">
    <brk id="46" max="11" man="1"/>
    <brk id="111" max="11" man="1"/>
    <brk id="190" max="11" man="1"/>
    <brk id="252" max="11" man="1"/>
  </rowBreaks>
</worksheet>
</file>

<file path=xl/worksheets/sheet10.xml><?xml version="1.0" encoding="utf-8"?>
<worksheet xmlns="http://schemas.openxmlformats.org/spreadsheetml/2006/main" xmlns:r="http://schemas.openxmlformats.org/officeDocument/2006/relationships">
  <sheetPr>
    <tabColor theme="0" tint="-0.1499900072813034"/>
    <pageSetUpPr fitToPage="1"/>
  </sheetPr>
  <dimension ref="A1:O239"/>
  <sheetViews>
    <sheetView zoomScalePageLayoutView="0" workbookViewId="0" topLeftCell="A1">
      <selection activeCell="A1" sqref="A1:H1"/>
    </sheetView>
  </sheetViews>
  <sheetFormatPr defaultColWidth="8.8515625" defaultRowHeight="12.75"/>
  <cols>
    <col min="1" max="1" width="8.8515625" style="169" customWidth="1"/>
    <col min="2" max="2" width="32.57421875" style="169" customWidth="1"/>
    <col min="3" max="4" width="8.8515625" style="169" customWidth="1"/>
    <col min="5" max="5" width="15.00390625" style="169" customWidth="1"/>
    <col min="6" max="6" width="12.8515625" style="169" bestFit="1" customWidth="1"/>
    <col min="7" max="7" width="10.8515625" style="169" customWidth="1"/>
    <col min="8" max="8" width="2.8515625" style="169" customWidth="1"/>
    <col min="9" max="9" width="16.57421875" style="169" bestFit="1" customWidth="1"/>
    <col min="10" max="10" width="2.140625" style="169" customWidth="1"/>
    <col min="11" max="11" width="14.57421875" style="169" bestFit="1" customWidth="1"/>
    <col min="12" max="12" width="4.8515625" style="169" customWidth="1"/>
    <col min="13" max="13" width="16.00390625" style="169" bestFit="1" customWidth="1"/>
    <col min="14" max="14" width="2.140625" style="169" customWidth="1"/>
    <col min="15" max="15" width="14.28125" style="169" bestFit="1" customWidth="1"/>
    <col min="16" max="16384" width="8.8515625" style="169" customWidth="1"/>
  </cols>
  <sheetData>
    <row r="1" spans="1:8" ht="15">
      <c r="A1" s="1421" t="str">
        <f>TCOS!$F$3</f>
        <v>AEPTCo subsidiaries in PJM</v>
      </c>
      <c r="B1" s="1421" t="str">
        <f>TCOS!$F$3</f>
        <v>AEPTCo subsidiaries in PJM</v>
      </c>
      <c r="C1" s="1421" t="str">
        <f>TCOS!$F$3</f>
        <v>AEPTCo subsidiaries in PJM</v>
      </c>
      <c r="D1" s="1421" t="str">
        <f>TCOS!$F$3</f>
        <v>AEPTCo subsidiaries in PJM</v>
      </c>
      <c r="E1" s="1421" t="str">
        <f>TCOS!$F$3</f>
        <v>AEPTCo subsidiaries in PJM</v>
      </c>
      <c r="F1" s="1421" t="str">
        <f>TCOS!$F$3</f>
        <v>AEPTCo subsidiaries in PJM</v>
      </c>
      <c r="G1" s="1421" t="str">
        <f>TCOS!$F$3</f>
        <v>AEPTCo subsidiaries in PJM</v>
      </c>
      <c r="H1" s="1421" t="str">
        <f>TCOS!$F$3</f>
        <v>AEPTCo subsidiaries in PJM</v>
      </c>
    </row>
    <row r="2" spans="1:8" ht="15">
      <c r="A2" s="1442" t="str">
        <f>"Cost of Service Formula Rate Using Actual/Projected FF1 Balances"</f>
        <v>Cost of Service Formula Rate Using Actual/Projected FF1 Balances</v>
      </c>
      <c r="B2" s="1442"/>
      <c r="C2" s="1442"/>
      <c r="D2" s="1442"/>
      <c r="E2" s="1442"/>
      <c r="F2" s="1442"/>
      <c r="G2" s="1442"/>
      <c r="H2" s="1442"/>
    </row>
    <row r="3" spans="1:8" ht="15">
      <c r="A3" s="1442" t="s">
        <v>337</v>
      </c>
      <c r="B3" s="1442"/>
      <c r="C3" s="1442"/>
      <c r="D3" s="1442"/>
      <c r="E3" s="1442"/>
      <c r="F3" s="1442"/>
      <c r="G3" s="1442"/>
      <c r="H3" s="1442"/>
    </row>
    <row r="4" spans="1:7" ht="15">
      <c r="A4" s="1443" t="str">
        <f>TCOS!F7</f>
        <v>AEP WEST VIRGINIA TRANSMISSION COMPANY</v>
      </c>
      <c r="B4" s="1443"/>
      <c r="C4" s="1443"/>
      <c r="D4" s="1443"/>
      <c r="E4" s="1443"/>
      <c r="F4" s="1443"/>
      <c r="G4" s="1443"/>
    </row>
    <row r="5" spans="1:15" ht="12.75" customHeight="1">
      <c r="A5" s="555"/>
      <c r="B5" s="556"/>
      <c r="C5" s="556"/>
      <c r="D5" s="556"/>
      <c r="E5" s="556"/>
      <c r="F5" s="556"/>
      <c r="G5" s="556"/>
      <c r="H5" s="556"/>
      <c r="I5" s="556"/>
      <c r="J5" s="556"/>
      <c r="O5" s="557"/>
    </row>
    <row r="6" spans="1:6" ht="12.75" customHeight="1">
      <c r="A6" s="555"/>
      <c r="B6" s="415"/>
      <c r="C6" s="389"/>
      <c r="D6" s="389"/>
      <c r="E6" s="389"/>
      <c r="F6" s="389"/>
    </row>
    <row r="7" spans="1:12" ht="15">
      <c r="A7" s="558">
        <v>1</v>
      </c>
      <c r="B7" s="569" t="s">
        <v>909</v>
      </c>
      <c r="C7" s="560"/>
      <c r="D7" s="561"/>
      <c r="E7" s="567">
        <v>0.065</v>
      </c>
      <c r="F7" s="389"/>
      <c r="G7" s="562"/>
      <c r="H7" s="562"/>
      <c r="L7" s="563"/>
    </row>
    <row r="8" spans="1:12" ht="15">
      <c r="A8" s="563"/>
      <c r="B8" s="559" t="s">
        <v>630</v>
      </c>
      <c r="C8" s="560"/>
      <c r="D8" s="560"/>
      <c r="E8" s="568">
        <v>1</v>
      </c>
      <c r="F8" s="389"/>
      <c r="G8" s="562"/>
      <c r="H8" s="562"/>
      <c r="L8" s="563"/>
    </row>
    <row r="9" spans="1:12" ht="15">
      <c r="A9" s="563"/>
      <c r="B9" s="559" t="s">
        <v>237</v>
      </c>
      <c r="C9" s="560"/>
      <c r="D9" s="560"/>
      <c r="E9" s="388"/>
      <c r="F9" s="564">
        <f>ROUND(E7*E8,4)</f>
        <v>0.065</v>
      </c>
      <c r="G9" s="562"/>
      <c r="L9" s="563"/>
    </row>
    <row r="10" spans="1:12" ht="15">
      <c r="A10" s="563"/>
      <c r="B10" s="559"/>
      <c r="C10" s="560"/>
      <c r="D10" s="560"/>
      <c r="E10" s="388"/>
      <c r="F10" s="564"/>
      <c r="G10" s="562"/>
      <c r="L10" s="563"/>
    </row>
    <row r="11" spans="1:12" ht="15">
      <c r="A11" s="563">
        <f>A7+1</f>
        <v>2</v>
      </c>
      <c r="B11" s="569" t="s">
        <v>114</v>
      </c>
      <c r="C11" s="560"/>
      <c r="D11" s="561"/>
      <c r="E11" s="567"/>
      <c r="F11" s="389"/>
      <c r="G11" s="562"/>
      <c r="L11" s="563"/>
    </row>
    <row r="12" spans="1:12" ht="15">
      <c r="A12" s="563"/>
      <c r="B12" s="559" t="s">
        <v>630</v>
      </c>
      <c r="C12" s="560"/>
      <c r="D12" s="560"/>
      <c r="E12" s="568"/>
      <c r="F12" s="389"/>
      <c r="G12" s="562"/>
      <c r="L12" s="563"/>
    </row>
    <row r="13" spans="1:12" ht="15">
      <c r="A13" s="563"/>
      <c r="B13" s="559" t="s">
        <v>237</v>
      </c>
      <c r="C13" s="560"/>
      <c r="D13" s="560"/>
      <c r="E13" s="388"/>
      <c r="F13" s="564">
        <f>ROUND(E11*E12,4)</f>
        <v>0</v>
      </c>
      <c r="G13" s="562"/>
      <c r="L13" s="563"/>
    </row>
    <row r="14" spans="1:12" ht="15">
      <c r="A14" s="563"/>
      <c r="B14" s="559"/>
      <c r="C14" s="560"/>
      <c r="D14" s="560"/>
      <c r="E14" s="388"/>
      <c r="F14" s="564"/>
      <c r="G14" s="562"/>
      <c r="L14" s="563"/>
    </row>
    <row r="15" spans="1:12" ht="15">
      <c r="A15" s="563">
        <f>A11+1</f>
        <v>3</v>
      </c>
      <c r="B15" s="569" t="s">
        <v>114</v>
      </c>
      <c r="C15" s="560"/>
      <c r="D15" s="561"/>
      <c r="E15" s="567"/>
      <c r="F15" s="389"/>
      <c r="G15" s="562"/>
      <c r="L15" s="563"/>
    </row>
    <row r="16" spans="1:12" ht="15">
      <c r="A16" s="563"/>
      <c r="B16" s="559" t="s">
        <v>630</v>
      </c>
      <c r="C16" s="560"/>
      <c r="D16" s="560"/>
      <c r="E16" s="568"/>
      <c r="F16" s="389"/>
      <c r="G16" s="562"/>
      <c r="L16" s="563"/>
    </row>
    <row r="17" spans="1:12" ht="15">
      <c r="A17" s="563"/>
      <c r="B17" s="559" t="s">
        <v>237</v>
      </c>
      <c r="C17" s="560"/>
      <c r="D17" s="560"/>
      <c r="E17" s="388"/>
      <c r="F17" s="564">
        <f>ROUND(E15*E16,4)</f>
        <v>0</v>
      </c>
      <c r="G17" s="562"/>
      <c r="L17" s="563"/>
    </row>
    <row r="18" spans="1:12" ht="15">
      <c r="A18" s="563"/>
      <c r="B18" s="559"/>
      <c r="C18" s="560"/>
      <c r="D18" s="560"/>
      <c r="E18" s="388"/>
      <c r="F18" s="564"/>
      <c r="G18" s="562"/>
      <c r="L18" s="563"/>
    </row>
    <row r="19" spans="1:12" ht="15">
      <c r="A19" s="563">
        <f>A15+1</f>
        <v>4</v>
      </c>
      <c r="B19" s="569" t="s">
        <v>114</v>
      </c>
      <c r="C19" s="560"/>
      <c r="D19" s="561"/>
      <c r="E19" s="567"/>
      <c r="F19" s="389"/>
      <c r="G19" s="562"/>
      <c r="L19" s="563"/>
    </row>
    <row r="20" spans="1:12" ht="15">
      <c r="A20" s="563"/>
      <c r="B20" s="559" t="s">
        <v>630</v>
      </c>
      <c r="C20" s="560"/>
      <c r="D20" s="560"/>
      <c r="E20" s="568"/>
      <c r="F20" s="389"/>
      <c r="G20" s="562"/>
      <c r="L20" s="563"/>
    </row>
    <row r="21" spans="1:12" ht="15">
      <c r="A21" s="563"/>
      <c r="B21" s="559" t="s">
        <v>237</v>
      </c>
      <c r="C21" s="560"/>
      <c r="D21" s="560"/>
      <c r="E21" s="388"/>
      <c r="F21" s="564">
        <f>ROUND(E19*E20,4)</f>
        <v>0</v>
      </c>
      <c r="G21" s="562"/>
      <c r="L21" s="563"/>
    </row>
    <row r="22" spans="1:12" ht="15">
      <c r="A22" s="563"/>
      <c r="B22" s="559"/>
      <c r="C22" s="560"/>
      <c r="D22" s="560"/>
      <c r="E22" s="388"/>
      <c r="F22" s="564"/>
      <c r="G22" s="562"/>
      <c r="L22" s="563"/>
    </row>
    <row r="23" spans="1:12" ht="15">
      <c r="A23" s="563">
        <f>A19+1</f>
        <v>5</v>
      </c>
      <c r="B23" s="569" t="s">
        <v>114</v>
      </c>
      <c r="C23" s="560"/>
      <c r="D23" s="561"/>
      <c r="E23" s="567"/>
      <c r="F23" s="565"/>
      <c r="G23" s="562"/>
      <c r="L23" s="563"/>
    </row>
    <row r="24" spans="1:12" ht="15">
      <c r="A24" s="563"/>
      <c r="B24" s="559" t="s">
        <v>630</v>
      </c>
      <c r="C24" s="560"/>
      <c r="D24" s="560"/>
      <c r="E24" s="568"/>
      <c r="F24" s="565"/>
      <c r="G24" s="562"/>
      <c r="L24" s="563"/>
    </row>
    <row r="25" spans="1:12" ht="15">
      <c r="A25" s="563"/>
      <c r="B25" s="559" t="s">
        <v>237</v>
      </c>
      <c r="C25" s="560"/>
      <c r="D25" s="560"/>
      <c r="E25" s="388"/>
      <c r="F25" s="564">
        <f>ROUND(E23*E24,4)</f>
        <v>0</v>
      </c>
      <c r="G25" s="562"/>
      <c r="L25" s="563"/>
    </row>
    <row r="26" spans="1:12" ht="15">
      <c r="A26" s="563"/>
      <c r="B26" s="559"/>
      <c r="C26" s="560"/>
      <c r="D26" s="560"/>
      <c r="E26" s="560"/>
      <c r="F26" s="565"/>
      <c r="G26" s="562"/>
      <c r="L26" s="563"/>
    </row>
    <row r="27" spans="1:12" ht="15.75" thickBot="1">
      <c r="A27" s="563"/>
      <c r="B27" s="388" t="s">
        <v>496</v>
      </c>
      <c r="C27" s="388"/>
      <c r="D27" s="388"/>
      <c r="E27" s="388"/>
      <c r="F27" s="566">
        <f>ROUND(SUM(F9:F26),4)</f>
        <v>0.065</v>
      </c>
      <c r="G27" s="562"/>
      <c r="L27" s="563"/>
    </row>
    <row r="28" spans="1:12" ht="13.5" thickTop="1">
      <c r="A28" s="563"/>
      <c r="G28" s="387"/>
      <c r="L28" s="563"/>
    </row>
    <row r="29" spans="1:12" ht="12.75">
      <c r="A29" s="563"/>
      <c r="G29" s="387"/>
      <c r="H29" s="387"/>
      <c r="L29" s="563"/>
    </row>
    <row r="30" spans="1:12" ht="12.75">
      <c r="A30" s="563"/>
      <c r="G30" s="387"/>
      <c r="H30" s="387"/>
      <c r="L30" s="563"/>
    </row>
    <row r="31" spans="1:12" ht="12.75" customHeight="1">
      <c r="A31" s="563"/>
      <c r="C31" s="388"/>
      <c r="D31" s="388"/>
      <c r="E31" s="388"/>
      <c r="F31" s="388"/>
      <c r="G31" s="387"/>
      <c r="H31" s="387"/>
      <c r="L31" s="563"/>
    </row>
    <row r="32" spans="1:12" ht="12.75">
      <c r="A32" s="341" t="s">
        <v>296</v>
      </c>
      <c r="B32" s="341" t="s">
        <v>201</v>
      </c>
      <c r="C32" s="341"/>
      <c r="D32" s="341"/>
      <c r="E32" s="341"/>
      <c r="F32" s="341"/>
      <c r="G32" s="341"/>
      <c r="H32" s="387"/>
      <c r="I32" s="387"/>
      <c r="L32" s="387"/>
    </row>
    <row r="239" ht="12.75">
      <c r="B239" s="169" t="s">
        <v>32</v>
      </c>
    </row>
  </sheetData>
  <sheetProtection/>
  <mergeCells count="4">
    <mergeCell ref="A4:G4"/>
    <mergeCell ref="A1:H1"/>
    <mergeCell ref="A2:H2"/>
    <mergeCell ref="A3:H3"/>
  </mergeCells>
  <printOptions/>
  <pageMargins left="0.26" right="1.28" top="1" bottom="1" header="0.75" footer="0.5"/>
  <pageSetup fitToHeight="1" fitToWidth="1" horizontalDpi="600" verticalDpi="600" orientation="portrait" scale="88"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tabColor theme="0" tint="-0.1499900072813034"/>
  </sheetPr>
  <dimension ref="A1:AC214"/>
  <sheetViews>
    <sheetView view="pageBreakPreview" zoomScale="60" zoomScaleNormal="80" zoomScalePageLayoutView="50" workbookViewId="0" topLeftCell="A1">
      <selection activeCell="A1" sqref="A1:M1"/>
    </sheetView>
  </sheetViews>
  <sheetFormatPr defaultColWidth="9.140625" defaultRowHeight="12.75"/>
  <cols>
    <col min="1" max="1" width="7.28125" style="636" customWidth="1"/>
    <col min="2" max="2" width="1.7109375" style="575" customWidth="1"/>
    <col min="3" max="3" width="62.421875" style="575" customWidth="1"/>
    <col min="4" max="4" width="11.00390625" style="575" customWidth="1"/>
    <col min="5" max="5" width="20.421875" style="637" customWidth="1"/>
    <col min="6" max="6" width="1.7109375" style="570" customWidth="1"/>
    <col min="7" max="7" width="20.00390625" style="570" bestFit="1" customWidth="1"/>
    <col min="8" max="8" width="1.7109375" style="570" customWidth="1"/>
    <col min="9" max="9" width="21.421875" style="570" customWidth="1"/>
    <col min="10" max="10" width="1.7109375" style="570" customWidth="1"/>
    <col min="11" max="11" width="17.7109375" style="570" bestFit="1" customWidth="1"/>
    <col min="12" max="12" width="3.421875" style="570" customWidth="1"/>
    <col min="13" max="13" width="22.57421875" style="570" customWidth="1"/>
    <col min="14" max="14" width="1.28515625" style="570" customWidth="1"/>
    <col min="15" max="15" width="22.140625" style="571" customWidth="1"/>
    <col min="16" max="16384" width="9.140625" style="570" customWidth="1"/>
  </cols>
  <sheetData>
    <row r="1" spans="1:13" ht="18.75" customHeight="1">
      <c r="A1" s="1421" t="str">
        <f>TCOS!$F$3</f>
        <v>AEPTCo subsidiaries in PJM</v>
      </c>
      <c r="B1" s="1421" t="str">
        <f>TCOS!$F$3</f>
        <v>AEPTCo subsidiaries in PJM</v>
      </c>
      <c r="C1" s="1421" t="str">
        <f>TCOS!$F$3</f>
        <v>AEPTCo subsidiaries in PJM</v>
      </c>
      <c r="D1" s="1421" t="str">
        <f>TCOS!$F$3</f>
        <v>AEPTCo subsidiaries in PJM</v>
      </c>
      <c r="E1" s="1421" t="str">
        <f>TCOS!$F$3</f>
        <v>AEPTCo subsidiaries in PJM</v>
      </c>
      <c r="F1" s="1421" t="str">
        <f>TCOS!$F$3</f>
        <v>AEPTCo subsidiaries in PJM</v>
      </c>
      <c r="G1" s="1421" t="str">
        <f>TCOS!$F$3</f>
        <v>AEPTCo subsidiaries in PJM</v>
      </c>
      <c r="H1" s="1421" t="str">
        <f>TCOS!$F$3</f>
        <v>AEPTCo subsidiaries in PJM</v>
      </c>
      <c r="I1" s="1421" t="str">
        <f>TCOS!$F$3</f>
        <v>AEPTCo subsidiaries in PJM</v>
      </c>
      <c r="J1" s="1421" t="str">
        <f>TCOS!$F$3</f>
        <v>AEPTCo subsidiaries in PJM</v>
      </c>
      <c r="K1" s="1421" t="str">
        <f>TCOS!$F$3</f>
        <v>AEPTCo subsidiaries in PJM</v>
      </c>
      <c r="L1" s="1421" t="str">
        <f>TCOS!$F$3</f>
        <v>AEPTCo subsidiaries in PJM</v>
      </c>
      <c r="M1" s="1421" t="str">
        <f>TCOS!$F$3</f>
        <v>AEPTCo subsidiaries in PJM</v>
      </c>
    </row>
    <row r="2" spans="1:13" ht="18.75" customHeight="1">
      <c r="A2" s="1442" t="str">
        <f>"Cost of Service Formula Rate Using Actual/Projected FF1 Balances"</f>
        <v>Cost of Service Formula Rate Using Actual/Projected FF1 Balances</v>
      </c>
      <c r="B2" s="1442"/>
      <c r="C2" s="1442"/>
      <c r="D2" s="1442"/>
      <c r="E2" s="1442"/>
      <c r="F2" s="1442"/>
      <c r="G2" s="1442"/>
      <c r="H2" s="1442"/>
      <c r="I2" s="1442"/>
      <c r="J2" s="1442"/>
      <c r="K2" s="1442"/>
      <c r="L2" s="1442"/>
      <c r="M2" s="1442"/>
    </row>
    <row r="3" spans="1:13" ht="18.75" customHeight="1">
      <c r="A3" s="1442" t="s">
        <v>256</v>
      </c>
      <c r="B3" s="1442"/>
      <c r="C3" s="1442"/>
      <c r="D3" s="1442"/>
      <c r="E3" s="1442"/>
      <c r="F3" s="1442"/>
      <c r="G3" s="1442"/>
      <c r="H3" s="1442"/>
      <c r="I3" s="1442"/>
      <c r="J3" s="1442"/>
      <c r="K3" s="1442"/>
      <c r="L3" s="1442"/>
      <c r="M3" s="1442"/>
    </row>
    <row r="4" spans="1:13" ht="18.75" customHeight="1">
      <c r="A4" s="1452" t="str">
        <f>TCOS!F7</f>
        <v>AEP WEST VIRGINIA TRANSMISSION COMPANY</v>
      </c>
      <c r="B4" s="1452"/>
      <c r="C4" s="1452"/>
      <c r="D4" s="1452"/>
      <c r="E4" s="1452"/>
      <c r="F4" s="1452"/>
      <c r="G4" s="1452"/>
      <c r="H4" s="1452"/>
      <c r="I4" s="1452"/>
      <c r="J4" s="1452"/>
      <c r="K4" s="1452"/>
      <c r="L4" s="1452"/>
      <c r="M4" s="1452"/>
    </row>
    <row r="5" spans="1:13" ht="18" customHeight="1">
      <c r="A5" s="1443"/>
      <c r="B5" s="1443"/>
      <c r="C5" s="1443"/>
      <c r="D5" s="1443"/>
      <c r="E5" s="1443"/>
      <c r="F5" s="1443"/>
      <c r="G5" s="1443"/>
      <c r="H5" s="1443"/>
      <c r="I5" s="1443"/>
      <c r="J5" s="1443"/>
      <c r="K5" s="1443"/>
      <c r="L5" s="1443"/>
      <c r="M5" s="1443"/>
    </row>
    <row r="6" spans="1:13" ht="18" customHeight="1">
      <c r="A6" s="1448"/>
      <c r="B6" s="1448"/>
      <c r="C6" s="1448"/>
      <c r="D6" s="1448"/>
      <c r="E6" s="1448"/>
      <c r="F6" s="1448"/>
      <c r="G6" s="1448"/>
      <c r="H6" s="1448"/>
      <c r="I6" s="1448"/>
      <c r="J6" s="1448"/>
      <c r="K6" s="1448"/>
      <c r="L6" s="1448"/>
      <c r="M6" s="1448"/>
    </row>
    <row r="7" spans="1:13" ht="18" customHeight="1">
      <c r="A7" s="514"/>
      <c r="B7" s="514"/>
      <c r="C7" s="514"/>
      <c r="D7" s="514"/>
      <c r="E7" s="514"/>
      <c r="F7" s="514"/>
      <c r="G7" s="514"/>
      <c r="H7" s="514"/>
      <c r="I7" s="514"/>
      <c r="J7" s="514"/>
      <c r="K7" s="514"/>
      <c r="L7" s="514"/>
      <c r="M7" s="514"/>
    </row>
    <row r="8" spans="1:13" ht="19.5" customHeight="1">
      <c r="A8" s="572"/>
      <c r="B8" s="573"/>
      <c r="C8" s="574" t="s">
        <v>463</v>
      </c>
      <c r="E8" s="574" t="s">
        <v>464</v>
      </c>
      <c r="G8" s="574" t="s">
        <v>465</v>
      </c>
      <c r="I8" s="574" t="s">
        <v>466</v>
      </c>
      <c r="K8" s="574" t="s">
        <v>386</v>
      </c>
      <c r="M8" s="574" t="s">
        <v>387</v>
      </c>
    </row>
    <row r="9" spans="1:29" ht="18">
      <c r="A9" s="576"/>
      <c r="B9" s="577"/>
      <c r="C9" s="577"/>
      <c r="D9" s="577"/>
      <c r="E9" s="169"/>
      <c r="F9" s="169"/>
      <c r="G9" s="169"/>
      <c r="H9" s="169"/>
      <c r="I9" s="169"/>
      <c r="J9" s="169"/>
      <c r="K9" s="169"/>
      <c r="L9" s="169"/>
      <c r="M9" s="169"/>
      <c r="Q9" s="415"/>
      <c r="R9" s="415"/>
      <c r="S9" s="415"/>
      <c r="T9" s="415"/>
      <c r="U9" s="415"/>
      <c r="V9" s="415"/>
      <c r="W9" s="415"/>
      <c r="X9" s="415"/>
      <c r="Y9" s="415"/>
      <c r="Z9" s="415"/>
      <c r="AA9" s="415"/>
      <c r="AB9" s="415"/>
      <c r="AC9" s="415"/>
    </row>
    <row r="10" spans="1:13" ht="19.5">
      <c r="A10" s="576" t="s">
        <v>470</v>
      </c>
      <c r="B10" s="577"/>
      <c r="C10" s="577"/>
      <c r="D10" s="577"/>
      <c r="E10" s="578" t="s">
        <v>421</v>
      </c>
      <c r="F10" s="576"/>
      <c r="G10" s="576"/>
      <c r="H10" s="576"/>
      <c r="I10" s="576"/>
      <c r="J10" s="576"/>
      <c r="K10" s="579"/>
      <c r="L10" s="579"/>
      <c r="M10" s="580"/>
    </row>
    <row r="11" spans="1:13" ht="19.5">
      <c r="A11" s="581" t="s">
        <v>420</v>
      </c>
      <c r="B11" s="577"/>
      <c r="C11" s="581" t="s">
        <v>111</v>
      </c>
      <c r="D11" s="577"/>
      <c r="E11" s="582" t="s">
        <v>484</v>
      </c>
      <c r="F11" s="576"/>
      <c r="G11" s="581" t="s">
        <v>115</v>
      </c>
      <c r="H11" s="576"/>
      <c r="I11" s="581" t="s">
        <v>462</v>
      </c>
      <c r="J11" s="576"/>
      <c r="K11" s="583" t="s">
        <v>482</v>
      </c>
      <c r="L11" s="584"/>
      <c r="M11" s="583" t="s">
        <v>116</v>
      </c>
    </row>
    <row r="12" spans="1:12" ht="19.5">
      <c r="A12" s="585"/>
      <c r="B12" s="573"/>
      <c r="C12" s="586"/>
      <c r="D12" s="586"/>
      <c r="E12" s="586" t="s">
        <v>334</v>
      </c>
      <c r="F12" s="586"/>
      <c r="G12" s="586"/>
      <c r="H12" s="586"/>
      <c r="I12" s="586"/>
      <c r="J12" s="586"/>
      <c r="K12" s="587"/>
      <c r="L12" s="587"/>
    </row>
    <row r="13" spans="1:12" ht="19.5">
      <c r="A13" s="572"/>
      <c r="B13" s="573"/>
      <c r="C13" s="573"/>
      <c r="D13" s="573"/>
      <c r="E13" s="588"/>
      <c r="F13" s="589"/>
      <c r="G13" s="589"/>
      <c r="H13" s="589"/>
      <c r="I13" s="590"/>
      <c r="J13" s="589"/>
      <c r="K13" s="587"/>
      <c r="L13" s="587"/>
    </row>
    <row r="14" spans="1:13" ht="19.5">
      <c r="A14" s="572">
        <v>1</v>
      </c>
      <c r="B14" s="573"/>
      <c r="C14" s="591" t="s">
        <v>127</v>
      </c>
      <c r="D14" s="573"/>
      <c r="E14" s="587"/>
      <c r="F14" s="587"/>
      <c r="G14" s="592"/>
      <c r="H14" s="592"/>
      <c r="I14" s="592"/>
      <c r="J14" s="592"/>
      <c r="K14" s="592"/>
      <c r="L14" s="592"/>
      <c r="M14" s="593"/>
    </row>
    <row r="15" spans="1:13" ht="19.5">
      <c r="A15" s="572">
        <f>+A14+1</f>
        <v>2</v>
      </c>
      <c r="B15" s="573"/>
      <c r="C15" s="589" t="s">
        <v>112</v>
      </c>
      <c r="D15" s="573"/>
      <c r="E15" s="594">
        <f>+'WS H-p2 Detail of Tax Amts'!E12</f>
        <v>0</v>
      </c>
      <c r="F15" s="587"/>
      <c r="G15" s="592"/>
      <c r="H15" s="592"/>
      <c r="I15" s="592"/>
      <c r="J15" s="592"/>
      <c r="K15" s="592"/>
      <c r="L15" s="592"/>
      <c r="M15" s="593">
        <f>+E15</f>
        <v>0</v>
      </c>
    </row>
    <row r="16" spans="1:13" ht="19.5">
      <c r="A16" s="572"/>
      <c r="B16" s="573"/>
      <c r="C16" s="579"/>
      <c r="D16" s="573"/>
      <c r="E16" s="595"/>
      <c r="F16" s="587"/>
      <c r="G16" s="592"/>
      <c r="H16" s="592"/>
      <c r="I16" s="592"/>
      <c r="J16" s="592"/>
      <c r="K16" s="592"/>
      <c r="L16" s="592"/>
      <c r="M16" s="593"/>
    </row>
    <row r="17" spans="1:13" ht="19.5">
      <c r="A17" s="572">
        <f>+A15+1</f>
        <v>3</v>
      </c>
      <c r="B17" s="573"/>
      <c r="C17" s="591" t="s">
        <v>128</v>
      </c>
      <c r="D17" s="573"/>
      <c r="E17" s="595"/>
      <c r="F17" s="587"/>
      <c r="G17" s="592"/>
      <c r="H17" s="592"/>
      <c r="I17" s="592"/>
      <c r="J17" s="592"/>
      <c r="K17" s="592"/>
      <c r="L17" s="592"/>
      <c r="M17" s="593"/>
    </row>
    <row r="18" spans="1:15" ht="19.5">
      <c r="A18" s="572">
        <f>+A17+1</f>
        <v>4</v>
      </c>
      <c r="B18" s="573"/>
      <c r="C18" s="589" t="s">
        <v>623</v>
      </c>
      <c r="D18" s="589"/>
      <c r="E18" s="594">
        <f>'WS H-p2 Detail of Tax Amts'!E21</f>
        <v>2752076</v>
      </c>
      <c r="F18" s="589"/>
      <c r="G18" s="592">
        <f>+E18</f>
        <v>2752076</v>
      </c>
      <c r="H18" s="592"/>
      <c r="I18" s="592"/>
      <c r="J18" s="592"/>
      <c r="K18" s="592"/>
      <c r="L18" s="592"/>
      <c r="M18" s="593"/>
      <c r="O18" s="169"/>
    </row>
    <row r="19" spans="1:15" ht="19.5">
      <c r="A19" s="572">
        <f>+A18+1</f>
        <v>5</v>
      </c>
      <c r="B19" s="573"/>
      <c r="C19" s="589" t="s">
        <v>624</v>
      </c>
      <c r="D19" s="589"/>
      <c r="E19" s="594">
        <f>'WS H-p2 Detail of Tax Amts'!E28</f>
        <v>0</v>
      </c>
      <c r="F19" s="589"/>
      <c r="G19" s="592">
        <f>+E19</f>
        <v>0</v>
      </c>
      <c r="H19" s="592"/>
      <c r="I19" s="592"/>
      <c r="J19" s="592"/>
      <c r="K19" s="592"/>
      <c r="L19" s="592"/>
      <c r="M19" s="593"/>
      <c r="O19" s="169"/>
    </row>
    <row r="20" spans="1:15" ht="19.5">
      <c r="A20" s="572">
        <f>+A19+1</f>
        <v>6</v>
      </c>
      <c r="B20" s="573"/>
      <c r="C20" s="589" t="s">
        <v>625</v>
      </c>
      <c r="D20" s="589"/>
      <c r="E20" s="594">
        <f>'WS H-p2 Detail of Tax Amts'!E35</f>
        <v>0</v>
      </c>
      <c r="F20" s="589"/>
      <c r="G20" s="592">
        <f>+E20</f>
        <v>0</v>
      </c>
      <c r="H20" s="592"/>
      <c r="I20" s="592"/>
      <c r="J20" s="592"/>
      <c r="K20" s="592"/>
      <c r="L20" s="592"/>
      <c r="M20" s="593"/>
      <c r="O20" s="169"/>
    </row>
    <row r="21" spans="1:15" ht="19.5">
      <c r="A21" s="572">
        <f>+A20+1</f>
        <v>7</v>
      </c>
      <c r="B21" s="573"/>
      <c r="C21" s="589" t="s">
        <v>252</v>
      </c>
      <c r="D21" s="596"/>
      <c r="E21" s="594">
        <f>+'WS H-p2 Detail of Tax Amts'!E38</f>
        <v>0</v>
      </c>
      <c r="F21" s="587"/>
      <c r="G21" s="592">
        <f>+E21</f>
        <v>0</v>
      </c>
      <c r="H21" s="592"/>
      <c r="I21" s="592"/>
      <c r="J21" s="592"/>
      <c r="K21" s="592"/>
      <c r="L21" s="592"/>
      <c r="M21" s="593"/>
      <c r="O21" s="169"/>
    </row>
    <row r="22" spans="1:15" ht="19.5">
      <c r="A22" s="572"/>
      <c r="B22" s="573"/>
      <c r="C22" s="579"/>
      <c r="D22" s="573"/>
      <c r="E22" s="595"/>
      <c r="F22" s="587"/>
      <c r="G22" s="592"/>
      <c r="H22" s="592"/>
      <c r="I22" s="592"/>
      <c r="J22" s="592"/>
      <c r="K22" s="592"/>
      <c r="L22" s="592"/>
      <c r="M22" s="593"/>
      <c r="O22" s="597"/>
    </row>
    <row r="23" spans="1:15" ht="19.5">
      <c r="A23" s="572">
        <f>+A21+1</f>
        <v>8</v>
      </c>
      <c r="B23" s="573"/>
      <c r="C23" s="591" t="s">
        <v>129</v>
      </c>
      <c r="D23" s="573"/>
      <c r="E23" s="595"/>
      <c r="F23" s="587"/>
      <c r="G23" s="592"/>
      <c r="H23" s="592"/>
      <c r="I23" s="592"/>
      <c r="J23" s="592"/>
      <c r="K23" s="592"/>
      <c r="L23" s="592"/>
      <c r="M23" s="593"/>
      <c r="O23" s="597"/>
    </row>
    <row r="24" spans="1:15" ht="19.5">
      <c r="A24" s="572">
        <f>+A23+1</f>
        <v>9</v>
      </c>
      <c r="B24" s="573"/>
      <c r="C24" s="589" t="s">
        <v>125</v>
      </c>
      <c r="D24" s="573"/>
      <c r="E24" s="594">
        <f>+'WS H-p2 Detail of Tax Amts'!E48</f>
        <v>0</v>
      </c>
      <c r="F24" s="587"/>
      <c r="G24" s="592"/>
      <c r="H24" s="592"/>
      <c r="I24" s="592">
        <f>+E24</f>
        <v>0</v>
      </c>
      <c r="J24" s="592"/>
      <c r="K24" s="592"/>
      <c r="L24" s="592"/>
      <c r="M24" s="593"/>
      <c r="O24" s="597"/>
    </row>
    <row r="25" spans="1:13" ht="19.5">
      <c r="A25" s="572">
        <f>+A24+1</f>
        <v>10</v>
      </c>
      <c r="B25" s="573"/>
      <c r="C25" s="589" t="s">
        <v>118</v>
      </c>
      <c r="D25" s="573"/>
      <c r="E25" s="594">
        <f>+'WS H-p2 Detail of Tax Amts'!E50</f>
        <v>0</v>
      </c>
      <c r="F25" s="587"/>
      <c r="G25" s="587"/>
      <c r="H25" s="587"/>
      <c r="I25" s="593">
        <f>+E25</f>
        <v>0</v>
      </c>
      <c r="J25" s="589"/>
      <c r="K25" s="587"/>
      <c r="L25" s="587"/>
      <c r="M25" s="593"/>
    </row>
    <row r="26" spans="1:13" ht="19.5">
      <c r="A26" s="572">
        <f>+A25+1</f>
        <v>11</v>
      </c>
      <c r="B26" s="573"/>
      <c r="C26" s="589" t="s">
        <v>119</v>
      </c>
      <c r="D26" s="573"/>
      <c r="E26" s="594">
        <f>+'WS H-p2 Detail of Tax Amts'!E52</f>
        <v>0</v>
      </c>
      <c r="F26" s="587"/>
      <c r="G26" s="587"/>
      <c r="H26" s="587"/>
      <c r="I26" s="593">
        <f>+E26</f>
        <v>0</v>
      </c>
      <c r="J26" s="588"/>
      <c r="K26" s="587"/>
      <c r="L26" s="587"/>
      <c r="M26" s="593"/>
    </row>
    <row r="27" spans="1:13" ht="19.5">
      <c r="A27" s="572" t="s">
        <v>417</v>
      </c>
      <c r="B27" s="573"/>
      <c r="C27" s="587"/>
      <c r="D27" s="573"/>
      <c r="E27" s="595"/>
      <c r="F27" s="587"/>
      <c r="G27" s="587"/>
      <c r="H27" s="587"/>
      <c r="I27" s="598"/>
      <c r="J27" s="599"/>
      <c r="K27" s="600"/>
      <c r="L27" s="600"/>
      <c r="M27" s="593"/>
    </row>
    <row r="28" spans="1:13" ht="19.5">
      <c r="A28" s="572">
        <f>A26+1</f>
        <v>12</v>
      </c>
      <c r="B28" s="573"/>
      <c r="C28" s="601" t="s">
        <v>321</v>
      </c>
      <c r="D28" s="573"/>
      <c r="E28" s="602"/>
      <c r="F28" s="603"/>
      <c r="G28" s="603"/>
      <c r="H28" s="603"/>
      <c r="I28" s="604"/>
      <c r="J28" s="605"/>
      <c r="K28" s="606"/>
      <c r="L28" s="606"/>
      <c r="M28" s="607"/>
    </row>
    <row r="29" spans="1:13" ht="19.5">
      <c r="A29" s="572">
        <f>A28+1</f>
        <v>13</v>
      </c>
      <c r="B29" s="573"/>
      <c r="C29" s="589" t="s">
        <v>223</v>
      </c>
      <c r="D29" s="596"/>
      <c r="E29" s="594">
        <f>+'WS H-p2 Detail of Tax Amts'!E57</f>
        <v>0</v>
      </c>
      <c r="F29" s="608"/>
      <c r="G29" s="587"/>
      <c r="H29" s="587"/>
      <c r="I29" s="598"/>
      <c r="J29" s="599"/>
      <c r="K29" s="600"/>
      <c r="L29" s="600"/>
      <c r="M29" s="593">
        <f>E29</f>
        <v>0</v>
      </c>
    </row>
    <row r="30" spans="1:13" ht="19.5">
      <c r="A30" s="572"/>
      <c r="B30" s="573"/>
      <c r="C30" s="587"/>
      <c r="D30" s="573"/>
      <c r="E30" s="595"/>
      <c r="F30" s="587"/>
      <c r="G30" s="587"/>
      <c r="H30" s="587"/>
      <c r="I30" s="598"/>
      <c r="J30" s="599"/>
      <c r="K30" s="600"/>
      <c r="L30" s="600"/>
      <c r="M30" s="593"/>
    </row>
    <row r="31" spans="1:13" ht="19.5">
      <c r="A31" s="609">
        <f>A29+1</f>
        <v>14</v>
      </c>
      <c r="B31" s="610"/>
      <c r="C31" s="591" t="s">
        <v>126</v>
      </c>
      <c r="D31" s="611"/>
      <c r="E31" s="595"/>
      <c r="F31" s="587"/>
      <c r="G31" s="593"/>
      <c r="H31" s="593"/>
      <c r="I31" s="593"/>
      <c r="J31" s="593"/>
      <c r="K31" s="593"/>
      <c r="L31" s="593"/>
      <c r="M31" s="593"/>
    </row>
    <row r="32" spans="1:13" ht="19.5">
      <c r="A32" s="609">
        <f>A31+1</f>
        <v>15</v>
      </c>
      <c r="B32" s="610"/>
      <c r="C32" s="589" t="s">
        <v>222</v>
      </c>
      <c r="D32" s="611"/>
      <c r="E32" s="594">
        <f>+'WS H-p2 Detail of Tax Amts'!E60</f>
        <v>0</v>
      </c>
      <c r="F32" s="608"/>
      <c r="G32" s="593"/>
      <c r="H32" s="593"/>
      <c r="I32" s="593"/>
      <c r="J32" s="593"/>
      <c r="K32" s="593"/>
      <c r="L32" s="593"/>
      <c r="M32" s="593">
        <f>E32</f>
        <v>0</v>
      </c>
    </row>
    <row r="33" spans="1:13" ht="19.5">
      <c r="A33" s="572">
        <f>A32+1</f>
        <v>16</v>
      </c>
      <c r="B33" s="573"/>
      <c r="C33" s="589" t="s">
        <v>120</v>
      </c>
      <c r="D33" s="573"/>
      <c r="E33" s="612">
        <f>+'WS H-p2 Detail of Tax Amts'!E63</f>
        <v>0</v>
      </c>
      <c r="F33" s="587"/>
      <c r="G33" s="593"/>
      <c r="H33" s="593"/>
      <c r="I33" s="593"/>
      <c r="J33" s="593"/>
      <c r="K33" s="593">
        <f>+E33</f>
        <v>0</v>
      </c>
      <c r="L33" s="593"/>
      <c r="M33" s="593"/>
    </row>
    <row r="34" spans="1:13" ht="19.5">
      <c r="A34" s="572">
        <f aca="true" t="shared" si="0" ref="A34:A39">+A33+1</f>
        <v>17</v>
      </c>
      <c r="B34" s="573"/>
      <c r="C34" s="589" t="s">
        <v>121</v>
      </c>
      <c r="D34" s="169"/>
      <c r="E34" s="612">
        <f>+'WS H-p2 Detail of Tax Amts'!E67</f>
        <v>-935</v>
      </c>
      <c r="F34" s="587"/>
      <c r="G34" s="612"/>
      <c r="H34" s="612"/>
      <c r="I34" s="612"/>
      <c r="J34" s="612"/>
      <c r="K34" s="593">
        <f>+E34</f>
        <v>-935</v>
      </c>
      <c r="L34" s="612"/>
      <c r="M34" s="593"/>
    </row>
    <row r="35" spans="1:13" ht="19.5">
      <c r="A35" s="572">
        <f>+A34+1</f>
        <v>18</v>
      </c>
      <c r="B35" s="573"/>
      <c r="C35" s="589" t="s">
        <v>122</v>
      </c>
      <c r="D35" s="169"/>
      <c r="E35" s="612">
        <f>'WS H-p2 Detail of Tax Amts'!E79</f>
        <v>25</v>
      </c>
      <c r="F35" s="587"/>
      <c r="G35" s="593"/>
      <c r="H35" s="593"/>
      <c r="I35" s="593"/>
      <c r="J35" s="593"/>
      <c r="K35" s="593">
        <f>+E35</f>
        <v>25</v>
      </c>
      <c r="L35" s="593"/>
      <c r="M35" s="593"/>
    </row>
    <row r="36" spans="1:13" ht="19.5">
      <c r="A36" s="572">
        <f t="shared" si="0"/>
        <v>19</v>
      </c>
      <c r="B36" s="573"/>
      <c r="C36" s="589" t="s">
        <v>123</v>
      </c>
      <c r="D36" s="573"/>
      <c r="E36" s="612">
        <f>+'WS H-p2 Detail of Tax Amts'!E84</f>
        <v>0</v>
      </c>
      <c r="F36" s="587"/>
      <c r="G36" s="593"/>
      <c r="H36" s="593"/>
      <c r="I36" s="593"/>
      <c r="J36" s="593"/>
      <c r="K36" s="593">
        <f>+E36</f>
        <v>0</v>
      </c>
      <c r="L36" s="593"/>
      <c r="M36" s="593"/>
    </row>
    <row r="37" spans="1:13" ht="19.5">
      <c r="A37" s="572">
        <f t="shared" si="0"/>
        <v>20</v>
      </c>
      <c r="B37" s="573"/>
      <c r="C37" s="589" t="s">
        <v>124</v>
      </c>
      <c r="D37" s="573"/>
      <c r="E37" s="612">
        <f>+'WS H-p2 Detail of Tax Amts'!E87</f>
        <v>-1</v>
      </c>
      <c r="F37" s="608"/>
      <c r="G37" s="593"/>
      <c r="H37" s="593"/>
      <c r="I37" s="593"/>
      <c r="J37" s="593"/>
      <c r="K37" s="593"/>
      <c r="L37" s="593"/>
      <c r="M37" s="593">
        <f>+E37</f>
        <v>-1</v>
      </c>
    </row>
    <row r="38" spans="1:13" ht="19.5">
      <c r="A38" s="572">
        <f t="shared" si="0"/>
        <v>21</v>
      </c>
      <c r="B38" s="587"/>
      <c r="C38" s="589" t="s">
        <v>113</v>
      </c>
      <c r="D38" s="587"/>
      <c r="E38" s="612">
        <f>+'WS H-p2 Detail of Tax Amts'!E93</f>
        <v>0</v>
      </c>
      <c r="F38" s="587"/>
      <c r="G38" s="593"/>
      <c r="H38" s="593"/>
      <c r="I38" s="593"/>
      <c r="J38" s="593"/>
      <c r="K38" s="593"/>
      <c r="L38" s="593"/>
      <c r="M38" s="593">
        <f>+E38</f>
        <v>0</v>
      </c>
    </row>
    <row r="39" spans="1:13" ht="19.5">
      <c r="A39" s="572">
        <f t="shared" si="0"/>
        <v>22</v>
      </c>
      <c r="B39" s="587"/>
      <c r="C39" s="589" t="s">
        <v>409</v>
      </c>
      <c r="D39" s="608"/>
      <c r="E39" s="612">
        <v>0</v>
      </c>
      <c r="F39" s="608"/>
      <c r="G39" s="593"/>
      <c r="H39" s="593"/>
      <c r="I39" s="593"/>
      <c r="J39" s="593"/>
      <c r="K39" s="593"/>
      <c r="L39" s="593"/>
      <c r="M39" s="593">
        <f>+E39</f>
        <v>0</v>
      </c>
    </row>
    <row r="40" spans="1:13" ht="19.5">
      <c r="A40" s="308"/>
      <c r="B40" s="205"/>
      <c r="C40" s="589"/>
      <c r="D40" s="169"/>
      <c r="E40" s="169"/>
      <c r="F40" s="587"/>
      <c r="H40" s="613"/>
      <c r="I40" s="614"/>
      <c r="J40" s="614"/>
      <c r="K40" s="600"/>
      <c r="L40" s="615"/>
      <c r="M40" s="615"/>
    </row>
    <row r="41" spans="1:13" ht="20.25" thickBot="1">
      <c r="A41" s="616">
        <f>+A39+1</f>
        <v>23</v>
      </c>
      <c r="B41" s="205"/>
      <c r="C41" s="589" t="s">
        <v>117</v>
      </c>
      <c r="D41" s="169"/>
      <c r="E41" s="617">
        <f>SUM(E15:E39)</f>
        <v>2751165</v>
      </c>
      <c r="F41" s="587"/>
      <c r="G41" s="617">
        <f>SUM(G15:G39)</f>
        <v>2752076</v>
      </c>
      <c r="H41" s="613"/>
      <c r="I41" s="617">
        <f>SUM(I15:I39)</f>
        <v>0</v>
      </c>
      <c r="J41" s="614"/>
      <c r="K41" s="617">
        <f>SUM(K15:K39)</f>
        <v>-910</v>
      </c>
      <c r="L41" s="615"/>
      <c r="M41" s="617">
        <f>SUM(M15:M39)</f>
        <v>-1</v>
      </c>
    </row>
    <row r="42" spans="1:13" ht="20.25" thickTop="1">
      <c r="A42" s="308"/>
      <c r="B42" s="205"/>
      <c r="C42" s="589" t="s">
        <v>182</v>
      </c>
      <c r="D42" s="169"/>
      <c r="E42" s="169"/>
      <c r="F42" s="587"/>
      <c r="G42" s="613"/>
      <c r="H42" s="613"/>
      <c r="I42" s="614"/>
      <c r="J42" s="200"/>
      <c r="K42" s="615"/>
      <c r="L42" s="615"/>
      <c r="M42" s="615"/>
    </row>
    <row r="43" spans="1:13" ht="19.5">
      <c r="A43" s="308"/>
      <c r="B43" s="205"/>
      <c r="C43" s="589" t="s">
        <v>6</v>
      </c>
      <c r="D43" s="169"/>
      <c r="E43" s="169"/>
      <c r="F43" s="587"/>
      <c r="G43" s="613"/>
      <c r="H43" s="613"/>
      <c r="I43" s="614"/>
      <c r="J43" s="200"/>
      <c r="K43" s="615"/>
      <c r="L43" s="615"/>
      <c r="M43" s="615"/>
    </row>
    <row r="44" spans="1:13" ht="19.5">
      <c r="A44" s="308"/>
      <c r="B44" s="205"/>
      <c r="C44" s="1451" t="s">
        <v>251</v>
      </c>
      <c r="D44" s="1451"/>
      <c r="E44" s="1451"/>
      <c r="F44" s="1451"/>
      <c r="G44" s="1451"/>
      <c r="H44" s="1451"/>
      <c r="I44" s="1451"/>
      <c r="J44" s="1451"/>
      <c r="K44" s="1451"/>
      <c r="L44" s="1451"/>
      <c r="M44" s="1451"/>
    </row>
    <row r="45" spans="1:13" ht="78">
      <c r="A45" s="572"/>
      <c r="C45" s="587"/>
      <c r="D45" s="587"/>
      <c r="E45" s="618" t="s">
        <v>322</v>
      </c>
      <c r="G45" s="619" t="s">
        <v>418</v>
      </c>
      <c r="H45" s="619"/>
      <c r="I45" s="618" t="s">
        <v>323</v>
      </c>
      <c r="J45" s="619"/>
      <c r="K45" s="619" t="s">
        <v>137</v>
      </c>
      <c r="L45" s="619"/>
      <c r="M45" s="619" t="s">
        <v>421</v>
      </c>
    </row>
    <row r="46" spans="1:13" ht="19.5">
      <c r="A46" s="620">
        <f>+A41+1</f>
        <v>24</v>
      </c>
      <c r="B46" s="621"/>
      <c r="C46" s="622" t="str">
        <f>"Functionalized Net Plant (TCOS, Lns "&amp;TCOS!B77&amp;" thru "&amp;TCOS!B80&amp;")"</f>
        <v>Functionalized Net Plant (TCOS, Lns 33 thru 36)</v>
      </c>
      <c r="D46" s="608"/>
      <c r="E46" s="623">
        <v>0</v>
      </c>
      <c r="F46" s="622"/>
      <c r="G46" s="623">
        <f>+TCOS!G77</f>
        <v>651791215.5</v>
      </c>
      <c r="H46" s="622"/>
      <c r="I46" s="623">
        <v>0</v>
      </c>
      <c r="J46" s="622"/>
      <c r="K46" s="624">
        <f>+TCOS!G78</f>
        <v>10859</v>
      </c>
      <c r="L46" s="608"/>
      <c r="M46" s="625">
        <f>SUM(E46:K46)</f>
        <v>651802074.5</v>
      </c>
    </row>
    <row r="47" spans="1:13" ht="19.5">
      <c r="A47" s="620"/>
      <c r="B47" s="621"/>
      <c r="C47" s="579" t="s">
        <v>910</v>
      </c>
      <c r="D47" s="608"/>
      <c r="E47" s="625"/>
      <c r="F47" s="608"/>
      <c r="G47" s="626"/>
      <c r="H47" s="608"/>
      <c r="I47" s="625"/>
      <c r="J47" s="608"/>
      <c r="K47" s="627"/>
      <c r="L47" s="608"/>
      <c r="M47" s="628"/>
    </row>
    <row r="48" spans="1:13" ht="19.5">
      <c r="A48" s="620">
        <f>+A46+1</f>
        <v>25</v>
      </c>
      <c r="B48" s="621"/>
      <c r="C48" s="608" t="str">
        <f>"Percentage of Plant in "&amp;C47&amp;""</f>
        <v>Percentage of Plant in WEST VIRGINIA JURISDICTION</v>
      </c>
      <c r="D48" s="608"/>
      <c r="E48" s="643"/>
      <c r="F48" s="629"/>
      <c r="G48" s="643"/>
      <c r="H48" s="629"/>
      <c r="I48" s="643"/>
      <c r="J48" s="629"/>
      <c r="K48" s="643"/>
      <c r="L48" s="608"/>
      <c r="M48" s="628"/>
    </row>
    <row r="49" spans="1:15" ht="19.5">
      <c r="A49" s="620">
        <f aca="true" t="shared" si="1" ref="A49:A56">+A48+1</f>
        <v>26</v>
      </c>
      <c r="B49" s="621"/>
      <c r="C49" s="622" t="str">
        <f>"Net Plant in "&amp;C47&amp;" (Ln "&amp;A46&amp;" * Ln "&amp;A48&amp;")"</f>
        <v>Net Plant in WEST VIRGINIA JURISDICTION (Ln 24 * Ln 25)</v>
      </c>
      <c r="D49" s="608"/>
      <c r="E49" s="625">
        <f>+E46*E48</f>
        <v>0</v>
      </c>
      <c r="F49" s="608"/>
      <c r="G49" s="625">
        <f>+G46*G48</f>
        <v>0</v>
      </c>
      <c r="H49" s="608"/>
      <c r="I49" s="625">
        <f>+I46*I48</f>
        <v>0</v>
      </c>
      <c r="J49" s="608"/>
      <c r="K49" s="625">
        <f>+K46*K48</f>
        <v>0</v>
      </c>
      <c r="L49" s="608"/>
      <c r="M49" s="625">
        <f>SUM(E49:K49)</f>
        <v>0</v>
      </c>
      <c r="O49" s="169"/>
    </row>
    <row r="50" spans="1:15" ht="19.5">
      <c r="A50" s="620">
        <f t="shared" si="1"/>
        <v>27</v>
      </c>
      <c r="B50" s="621"/>
      <c r="C50" s="622" t="s">
        <v>552</v>
      </c>
      <c r="D50" s="608"/>
      <c r="E50" s="643"/>
      <c r="F50" s="608"/>
      <c r="G50" s="630"/>
      <c r="H50" s="608"/>
      <c r="I50" s="630"/>
      <c r="J50" s="608"/>
      <c r="K50" s="631"/>
      <c r="L50" s="608"/>
      <c r="M50" s="625"/>
      <c r="O50" s="169"/>
    </row>
    <row r="51" spans="1:15" ht="19.5">
      <c r="A51" s="620">
        <f t="shared" si="1"/>
        <v>28</v>
      </c>
      <c r="B51" s="621"/>
      <c r="C51" s="608" t="str">
        <f>"Taxable Property Basis (Ln "&amp;A49&amp;" - Ln "&amp;A50&amp;")"</f>
        <v>Taxable Property Basis (Ln 26 - Ln 27)</v>
      </c>
      <c r="D51" s="608"/>
      <c r="E51" s="625">
        <f>+E49-E50</f>
        <v>0</v>
      </c>
      <c r="F51" s="608"/>
      <c r="G51" s="625">
        <f>+G49-G50</f>
        <v>0</v>
      </c>
      <c r="H51" s="608"/>
      <c r="I51" s="625">
        <f>+I49-I50</f>
        <v>0</v>
      </c>
      <c r="J51" s="608"/>
      <c r="K51" s="625">
        <f>+K49-K50</f>
        <v>0</v>
      </c>
      <c r="L51" s="608"/>
      <c r="M51" s="625">
        <f>SUM(E51:K51)</f>
        <v>0</v>
      </c>
      <c r="O51" s="169"/>
    </row>
    <row r="52" spans="1:15" ht="19.5">
      <c r="A52" s="620">
        <f t="shared" si="1"/>
        <v>29</v>
      </c>
      <c r="B52" s="621"/>
      <c r="C52" s="612" t="s">
        <v>249</v>
      </c>
      <c r="D52" s="608"/>
      <c r="E52" s="643"/>
      <c r="F52" s="629"/>
      <c r="G52" s="643"/>
      <c r="H52" s="629"/>
      <c r="I52" s="643"/>
      <c r="J52" s="629"/>
      <c r="K52" s="643"/>
      <c r="L52" s="608"/>
      <c r="M52" s="625">
        <f>SUM(E52:K52)</f>
        <v>0</v>
      </c>
      <c r="O52" s="169"/>
    </row>
    <row r="53" spans="1:21" ht="19.5">
      <c r="A53" s="620">
        <f t="shared" si="1"/>
        <v>30</v>
      </c>
      <c r="B53" s="621"/>
      <c r="C53" s="622" t="str">
        <f>"Weighted Net Plant (Ln "&amp;A51&amp;" * Ln "&amp;A52&amp;")"</f>
        <v>Weighted Net Plant (Ln 28 * Ln 29)</v>
      </c>
      <c r="D53" s="608"/>
      <c r="E53" s="625">
        <f>+E51*E52</f>
        <v>0</v>
      </c>
      <c r="F53" s="608"/>
      <c r="G53" s="625">
        <f>+G51*G52</f>
        <v>0</v>
      </c>
      <c r="H53" s="608"/>
      <c r="I53" s="625">
        <f>+I51*I52</f>
        <v>0</v>
      </c>
      <c r="J53" s="608"/>
      <c r="K53" s="625">
        <f>+K51*K52</f>
        <v>0</v>
      </c>
      <c r="L53" s="608"/>
      <c r="M53" s="625"/>
      <c r="O53" s="169"/>
      <c r="P53" s="169"/>
      <c r="Q53" s="169"/>
      <c r="R53" s="169"/>
      <c r="S53" s="169"/>
      <c r="T53" s="169"/>
      <c r="U53" s="169"/>
    </row>
    <row r="54" spans="1:21" ht="19.5">
      <c r="A54" s="620">
        <f t="shared" si="1"/>
        <v>31</v>
      </c>
      <c r="B54" s="621"/>
      <c r="C54" s="608" t="str">
        <f>+"General Plant Allocator (Ln "&amp;A53&amp;" / (Total - General Plant))"</f>
        <v>General Plant Allocator (Ln 30 / (Total - General Plant))</v>
      </c>
      <c r="D54" s="608"/>
      <c r="E54" s="632">
        <f>IF(E52=0,0,+E53/($E53+$G53+$I53))</f>
        <v>0</v>
      </c>
      <c r="F54" s="608"/>
      <c r="G54" s="632">
        <v>1</v>
      </c>
      <c r="H54" s="608"/>
      <c r="I54" s="632">
        <f>IF(I52=0,0,+I53/($E53+$G53+$I53))</f>
        <v>0</v>
      </c>
      <c r="J54" s="608"/>
      <c r="K54" s="632">
        <v>-1</v>
      </c>
      <c r="L54" s="608"/>
      <c r="M54" s="608"/>
      <c r="O54" s="169"/>
      <c r="P54" s="169"/>
      <c r="Q54" s="169"/>
      <c r="R54" s="169"/>
      <c r="S54" s="169"/>
      <c r="T54" s="169"/>
      <c r="U54" s="169"/>
    </row>
    <row r="55" spans="1:21" ht="19.5">
      <c r="A55" s="620">
        <f t="shared" si="1"/>
        <v>32</v>
      </c>
      <c r="B55" s="621"/>
      <c r="C55" s="608" t="str">
        <f>"Functionalized General Plant (Ln "&amp;A54&amp;" * General Plant)"</f>
        <v>Functionalized General Plant (Ln 31 * General Plant)</v>
      </c>
      <c r="D55" s="608"/>
      <c r="E55" s="633">
        <f>ROUND($K53*E54,0)</f>
        <v>0</v>
      </c>
      <c r="F55" s="608"/>
      <c r="G55" s="633">
        <f>+G54*K53</f>
        <v>0</v>
      </c>
      <c r="H55" s="608"/>
      <c r="I55" s="633">
        <f>ROUND($K53*I54,0)</f>
        <v>0</v>
      </c>
      <c r="J55" s="608"/>
      <c r="K55" s="633">
        <f>ROUND($K53*K54,0)</f>
        <v>0</v>
      </c>
      <c r="L55" s="608"/>
      <c r="M55" s="625">
        <f>IF(SUM(E55:K55)&lt;&gt;0,0,0)</f>
        <v>0</v>
      </c>
      <c r="O55" s="169"/>
      <c r="P55" s="169"/>
      <c r="Q55" s="169"/>
      <c r="R55" s="169"/>
      <c r="S55" s="169"/>
      <c r="T55" s="169"/>
      <c r="U55" s="169"/>
    </row>
    <row r="56" spans="1:15" ht="19.5">
      <c r="A56" s="620">
        <f t="shared" si="1"/>
        <v>33</v>
      </c>
      <c r="B56" s="621"/>
      <c r="C56" s="608" t="str">
        <f>"Weighted "&amp;C47&amp;" Plant (Ln "&amp;A53&amp;" + "&amp;A55&amp;")"</f>
        <v>Weighted WEST VIRGINIA JURISDICTION Plant (Ln 30 + 32)</v>
      </c>
      <c r="D56" s="608"/>
      <c r="E56" s="625">
        <f>+E53+E55</f>
        <v>0</v>
      </c>
      <c r="F56" s="608"/>
      <c r="G56" s="627">
        <f>+G53+G55</f>
        <v>0</v>
      </c>
      <c r="H56" s="608"/>
      <c r="I56" s="625">
        <f>+I53+I55</f>
        <v>0</v>
      </c>
      <c r="J56" s="608"/>
      <c r="K56" s="625">
        <f>+K53+K55</f>
        <v>0</v>
      </c>
      <c r="L56" s="608"/>
      <c r="M56" s="625">
        <f>SUM(E56:K56)-SUM(E55:K55)</f>
        <v>0</v>
      </c>
      <c r="O56" s="169"/>
    </row>
    <row r="57" spans="1:15" ht="19.5">
      <c r="A57" s="620">
        <f>+A56+1</f>
        <v>34</v>
      </c>
      <c r="B57" s="621"/>
      <c r="C57" s="608" t="str">
        <f>"Functional Percentage (Ln "&amp;A56&amp;"/Total Ln "&amp;A56&amp;")"</f>
        <v>Functional Percentage (Ln 33/Total Ln 33)</v>
      </c>
      <c r="D57" s="608"/>
      <c r="E57" s="626">
        <f>IF(E56=0,0,+E56/$M$56)</f>
        <v>0</v>
      </c>
      <c r="F57" s="608"/>
      <c r="G57" s="626">
        <v>1</v>
      </c>
      <c r="H57" s="608"/>
      <c r="I57" s="626">
        <f>IF(I56=0,0,+I56/$M$56)</f>
        <v>0</v>
      </c>
      <c r="J57" s="608"/>
      <c r="K57" s="169"/>
      <c r="L57" s="608"/>
      <c r="M57" s="625"/>
      <c r="O57" s="169"/>
    </row>
    <row r="58" spans="1:15" ht="19.5">
      <c r="A58" s="620"/>
      <c r="B58" s="621"/>
      <c r="C58" s="640" t="s">
        <v>890</v>
      </c>
      <c r="D58" s="608"/>
      <c r="E58" s="625"/>
      <c r="F58" s="608"/>
      <c r="G58" s="634"/>
      <c r="H58" s="608"/>
      <c r="I58" s="625"/>
      <c r="J58" s="608"/>
      <c r="K58" s="626"/>
      <c r="L58" s="608"/>
      <c r="M58" s="625"/>
      <c r="O58" s="169"/>
    </row>
    <row r="59" spans="1:15" ht="19.5">
      <c r="A59" s="620">
        <f>A57+1</f>
        <v>35</v>
      </c>
      <c r="B59" s="621"/>
      <c r="C59" s="641" t="str">
        <f>"Net Plant in "&amp;C58&amp;" (Ln "&amp;A46&amp;" - Ln "&amp;A49&amp;")"</f>
        <v>Net Plant in _________ JURISDICTION (Ln 24 - Ln 26)</v>
      </c>
      <c r="D59" s="608"/>
      <c r="E59" s="625">
        <f>+E46-E49</f>
        <v>0</v>
      </c>
      <c r="F59" s="608"/>
      <c r="G59" s="625">
        <f>+G46-G49</f>
        <v>651791215.5</v>
      </c>
      <c r="H59" s="608"/>
      <c r="I59" s="625">
        <f>+I46-I49</f>
        <v>0</v>
      </c>
      <c r="J59" s="608"/>
      <c r="K59" s="625">
        <f>+K46-K49</f>
        <v>10859</v>
      </c>
      <c r="L59" s="608"/>
      <c r="M59" s="625">
        <f>SUM(E59:K59)</f>
        <v>651802074.5</v>
      </c>
      <c r="O59" s="169"/>
    </row>
    <row r="60" spans="1:15" ht="19.5">
      <c r="A60" s="620">
        <f aca="true" t="shared" si="2" ref="A60:A66">+A59+1</f>
        <v>36</v>
      </c>
      <c r="B60" s="621"/>
      <c r="C60" s="622" t="s">
        <v>551</v>
      </c>
      <c r="D60" s="608"/>
      <c r="E60" s="643"/>
      <c r="F60" s="608"/>
      <c r="G60" s="630"/>
      <c r="H60" s="608"/>
      <c r="I60" s="630"/>
      <c r="J60" s="608"/>
      <c r="K60" s="631"/>
      <c r="L60" s="608"/>
      <c r="M60" s="625"/>
      <c r="O60" s="169"/>
    </row>
    <row r="61" spans="1:15" ht="19.5">
      <c r="A61" s="620">
        <f t="shared" si="2"/>
        <v>37</v>
      </c>
      <c r="B61" s="621"/>
      <c r="C61" s="608" t="s">
        <v>250</v>
      </c>
      <c r="D61" s="608"/>
      <c r="E61" s="625">
        <f>+E59-E60</f>
        <v>0</v>
      </c>
      <c r="F61" s="608"/>
      <c r="G61" s="625">
        <f>+G59-G60</f>
        <v>651791215.5</v>
      </c>
      <c r="H61" s="608"/>
      <c r="I61" s="625">
        <f>+I59-I60</f>
        <v>0</v>
      </c>
      <c r="J61" s="608"/>
      <c r="K61" s="625">
        <f>+K59-K60</f>
        <v>10859</v>
      </c>
      <c r="L61" s="608"/>
      <c r="M61" s="625">
        <f>SUM(E61:K61)</f>
        <v>651802074.5</v>
      </c>
      <c r="O61" s="169"/>
    </row>
    <row r="62" spans="1:15" ht="19.5">
      <c r="A62" s="620">
        <f t="shared" si="2"/>
        <v>38</v>
      </c>
      <c r="B62" s="621"/>
      <c r="C62" s="612" t="s">
        <v>249</v>
      </c>
      <c r="D62" s="608"/>
      <c r="E62" s="643"/>
      <c r="F62" s="629"/>
      <c r="G62" s="643"/>
      <c r="H62" s="629"/>
      <c r="I62" s="643"/>
      <c r="J62" s="629"/>
      <c r="K62" s="643"/>
      <c r="L62" s="608"/>
      <c r="M62" s="625"/>
      <c r="O62" s="169"/>
    </row>
    <row r="63" spans="1:15" ht="19.5">
      <c r="A63" s="620">
        <f t="shared" si="2"/>
        <v>39</v>
      </c>
      <c r="B63" s="621"/>
      <c r="C63" s="608" t="str">
        <f>"Weighted Net Plant (Ln "&amp;A61&amp;" * Ln "&amp;A62&amp;")"</f>
        <v>Weighted Net Plant (Ln 37 * Ln 38)</v>
      </c>
      <c r="D63" s="608"/>
      <c r="E63" s="625">
        <f>+E61*E62</f>
        <v>0</v>
      </c>
      <c r="F63" s="608"/>
      <c r="G63" s="625">
        <f>+G61*G62</f>
        <v>0</v>
      </c>
      <c r="H63" s="608"/>
      <c r="I63" s="625">
        <f>+I61*I62</f>
        <v>0</v>
      </c>
      <c r="J63" s="608"/>
      <c r="K63" s="625">
        <f>+K61*K62</f>
        <v>0</v>
      </c>
      <c r="L63" s="608"/>
      <c r="M63" s="625"/>
      <c r="O63" s="169"/>
    </row>
    <row r="64" spans="1:15" ht="19.5">
      <c r="A64" s="620">
        <f t="shared" si="2"/>
        <v>40</v>
      </c>
      <c r="B64" s="621"/>
      <c r="C64" s="608" t="str">
        <f>+"General Plant Allocator (Ln "&amp;A63&amp;" / (Total - General Plant)"</f>
        <v>General Plant Allocator (Ln 39 / (Total - General Plant)</v>
      </c>
      <c r="D64" s="608"/>
      <c r="E64" s="632">
        <f>IF(E62=0,0,+E63/($E63+$G63+$I63))</f>
        <v>0</v>
      </c>
      <c r="F64" s="608"/>
      <c r="G64" s="632">
        <v>1</v>
      </c>
      <c r="H64" s="608"/>
      <c r="I64" s="632">
        <f>IF(I62=0,0,+I63/($E63+$G63+$I63))</f>
        <v>0</v>
      </c>
      <c r="J64" s="608"/>
      <c r="K64" s="632">
        <v>-1</v>
      </c>
      <c r="L64" s="608"/>
      <c r="M64" s="625"/>
      <c r="O64" s="169"/>
    </row>
    <row r="65" spans="1:15" ht="19.5">
      <c r="A65" s="620">
        <f t="shared" si="2"/>
        <v>41</v>
      </c>
      <c r="B65" s="621"/>
      <c r="C65" s="608" t="str">
        <f>"Functionalized General Plant (Ln "&amp;A65&amp;" * General Plant)"</f>
        <v>Functionalized General Plant (Ln 41 * General Plant)</v>
      </c>
      <c r="D65" s="608"/>
      <c r="E65" s="633">
        <f>ROUND($K63*E64,0)</f>
        <v>0</v>
      </c>
      <c r="F65" s="608"/>
      <c r="G65" s="633">
        <f>ROUND($K63*G64,0)</f>
        <v>0</v>
      </c>
      <c r="H65" s="608"/>
      <c r="I65" s="633">
        <f>ROUND($K63*I64,0)</f>
        <v>0</v>
      </c>
      <c r="J65" s="608"/>
      <c r="K65" s="633">
        <f>ROUND($K63*K64,0)</f>
        <v>0</v>
      </c>
      <c r="L65" s="608"/>
      <c r="M65" s="625"/>
      <c r="O65" s="169"/>
    </row>
    <row r="66" spans="1:15" ht="19.5">
      <c r="A66" s="620">
        <f t="shared" si="2"/>
        <v>42</v>
      </c>
      <c r="B66" s="621"/>
      <c r="C66" s="642" t="str">
        <f>"Weighted "&amp;C58&amp;" Plant (Ln "&amp;A63&amp;" + "&amp;A65&amp;")"</f>
        <v>Weighted _________ JURISDICTION Plant (Ln 39 + 41)</v>
      </c>
      <c r="D66" s="608"/>
      <c r="E66" s="625">
        <f>+E63+E65</f>
        <v>0</v>
      </c>
      <c r="F66" s="608"/>
      <c r="G66" s="627">
        <f>+G63+G65</f>
        <v>0</v>
      </c>
      <c r="H66" s="608"/>
      <c r="I66" s="625">
        <f>+I63+I65</f>
        <v>0</v>
      </c>
      <c r="J66" s="608"/>
      <c r="K66" s="625">
        <f>+K63+K65</f>
        <v>0</v>
      </c>
      <c r="L66" s="608"/>
      <c r="M66" s="625">
        <f>SUM(E66:K66)-SUM(E65:K65)</f>
        <v>0</v>
      </c>
      <c r="O66" s="169"/>
    </row>
    <row r="67" spans="1:15" ht="19.5">
      <c r="A67" s="620">
        <f>+A66+1</f>
        <v>43</v>
      </c>
      <c r="B67" s="621"/>
      <c r="C67" s="608" t="str">
        <f>"Functional Percentage (Ln "&amp;A66&amp;"/Total Ln "&amp;A66&amp;")"</f>
        <v>Functional Percentage (Ln 42/Total Ln 42)</v>
      </c>
      <c r="D67" s="608"/>
      <c r="E67" s="626">
        <f>IF(E66=0,0,+E66/$M$66)</f>
        <v>0</v>
      </c>
      <c r="F67" s="608"/>
      <c r="G67" s="626">
        <v>1</v>
      </c>
      <c r="H67" s="608"/>
      <c r="I67" s="626">
        <f>IF(I66=0,0,+I66/$M$66)</f>
        <v>0</v>
      </c>
      <c r="J67" s="169"/>
      <c r="K67" s="169"/>
      <c r="L67" s="608"/>
      <c r="M67" s="625"/>
      <c r="O67" s="169"/>
    </row>
    <row r="68" spans="1:15" ht="19.5">
      <c r="A68" s="620"/>
      <c r="B68" s="621"/>
      <c r="C68" s="608"/>
      <c r="D68" s="608"/>
      <c r="E68" s="612"/>
      <c r="F68" s="612"/>
      <c r="G68" s="612"/>
      <c r="H68" s="612"/>
      <c r="I68" s="612"/>
      <c r="J68" s="608"/>
      <c r="K68" s="635"/>
      <c r="L68" s="608"/>
      <c r="M68" s="612"/>
      <c r="O68" s="169"/>
    </row>
    <row r="69" spans="1:15" ht="19.5">
      <c r="A69" s="620"/>
      <c r="B69" s="621"/>
      <c r="D69" s="608"/>
      <c r="E69" s="635"/>
      <c r="F69" s="608"/>
      <c r="G69" s="635"/>
      <c r="H69" s="608"/>
      <c r="I69" s="635"/>
      <c r="J69" s="608"/>
      <c r="K69" s="635"/>
      <c r="L69" s="608"/>
      <c r="M69" s="612"/>
      <c r="O69" s="169"/>
    </row>
    <row r="70" ht="12.75">
      <c r="O70" s="169"/>
    </row>
    <row r="71" ht="12.75">
      <c r="O71" s="169"/>
    </row>
    <row r="72" spans="7:15" ht="12.75">
      <c r="G72" s="638"/>
      <c r="O72" s="169"/>
    </row>
    <row r="213" ht="15.75" thickBot="1"/>
    <row r="214" ht="20.25" thickBot="1">
      <c r="G214" s="639"/>
    </row>
  </sheetData>
  <sheetProtection/>
  <mergeCells count="7">
    <mergeCell ref="A6:M6"/>
    <mergeCell ref="A5:M5"/>
    <mergeCell ref="C44:M44"/>
    <mergeCell ref="A1:M1"/>
    <mergeCell ref="A2:M2"/>
    <mergeCell ref="A3:M3"/>
    <mergeCell ref="A4:M4"/>
  </mergeCells>
  <printOptions/>
  <pageMargins left="0.82" right="1.28" top="0.81" bottom="1" header="0.75" footer="0.5"/>
  <pageSetup horizontalDpi="600" verticalDpi="600" orientation="portrait" scale="37" r:id="rId1"/>
  <headerFooter alignWithMargins="0">
    <oddHeader>&amp;R&amp;"Arial,Bold"Formula Rate 
&amp;A
Page &amp;P of &amp;N</oddHeader>
  </headerFooter>
  <colBreaks count="1" manualBreakCount="1">
    <brk id="13" max="88" man="1"/>
  </colBreaks>
</worksheet>
</file>

<file path=xl/worksheets/sheet12.xml><?xml version="1.0" encoding="utf-8"?>
<worksheet xmlns="http://schemas.openxmlformats.org/spreadsheetml/2006/main" xmlns:r="http://schemas.openxmlformats.org/officeDocument/2006/relationships">
  <sheetPr>
    <tabColor theme="0" tint="-0.1499900072813034"/>
    <pageSetUpPr fitToPage="1"/>
  </sheetPr>
  <dimension ref="A1:T121"/>
  <sheetViews>
    <sheetView zoomScale="60" zoomScaleNormal="60" zoomScalePageLayoutView="0" workbookViewId="0" topLeftCell="A1">
      <selection activeCell="A1" sqref="A1:G1"/>
    </sheetView>
  </sheetViews>
  <sheetFormatPr defaultColWidth="9.140625" defaultRowHeight="12.75"/>
  <cols>
    <col min="1" max="1" width="7.28125" style="70" customWidth="1"/>
    <col min="2" max="2" width="1.7109375" style="71" customWidth="1"/>
    <col min="3" max="3" width="65.00390625" style="71" customWidth="1"/>
    <col min="4" max="4" width="19.140625" style="71" customWidth="1"/>
    <col min="5" max="5" width="20.421875" style="65" customWidth="1"/>
    <col min="6" max="6" width="20.421875" style="58" bestFit="1" customWidth="1"/>
    <col min="7" max="7" width="35.7109375" style="58" bestFit="1" customWidth="1"/>
    <col min="8" max="8" width="17.7109375" style="58" customWidth="1"/>
    <col min="9" max="9" width="22.421875" style="58" customWidth="1"/>
    <col min="10" max="16384" width="9.140625" style="58" customWidth="1"/>
  </cols>
  <sheetData>
    <row r="1" spans="1:7" ht="18.75" customHeight="1">
      <c r="A1" s="1429" t="str">
        <f>TCOS!$F$3</f>
        <v>AEPTCo subsidiaries in PJM</v>
      </c>
      <c r="B1" s="1429" t="str">
        <f>TCOS!$F$3</f>
        <v>AEPTCo subsidiaries in PJM</v>
      </c>
      <c r="C1" s="1429" t="str">
        <f>TCOS!$F$3</f>
        <v>AEPTCo subsidiaries in PJM</v>
      </c>
      <c r="D1" s="1429" t="str">
        <f>TCOS!$F$3</f>
        <v>AEPTCo subsidiaries in PJM</v>
      </c>
      <c r="E1" s="1429" t="str">
        <f>TCOS!$F$3</f>
        <v>AEPTCo subsidiaries in PJM</v>
      </c>
      <c r="F1" s="1454"/>
      <c r="G1" s="1454"/>
    </row>
    <row r="2" spans="1:13" ht="18.75" customHeight="1">
      <c r="A2" s="1429" t="str">
        <f>"Cost of Service Formula Rate Using Actual/Projected FF1 Balances"</f>
        <v>Cost of Service Formula Rate Using Actual/Projected FF1 Balances</v>
      </c>
      <c r="B2" s="1429"/>
      <c r="C2" s="1429"/>
      <c r="D2" s="1429"/>
      <c r="E2" s="1429"/>
      <c r="F2" s="1454"/>
      <c r="G2" s="1454"/>
      <c r="H2" s="1429"/>
      <c r="I2" s="1429"/>
      <c r="J2" s="1429"/>
      <c r="K2" s="1429"/>
      <c r="L2" s="1429"/>
      <c r="M2" s="1454"/>
    </row>
    <row r="3" spans="1:7" ht="18.75" customHeight="1">
      <c r="A3" s="1422" t="s">
        <v>255</v>
      </c>
      <c r="B3" s="1422"/>
      <c r="C3" s="1422"/>
      <c r="D3" s="1422"/>
      <c r="E3" s="1422"/>
      <c r="F3" s="1454"/>
      <c r="G3" s="1454"/>
    </row>
    <row r="4" spans="1:13" ht="18" customHeight="1">
      <c r="A4" s="1456" t="str">
        <f>+TCOS!F7</f>
        <v>AEP WEST VIRGINIA TRANSMISSION COMPANY</v>
      </c>
      <c r="B4" s="1456"/>
      <c r="C4" s="1456"/>
      <c r="D4" s="1456"/>
      <c r="E4" s="1456"/>
      <c r="F4" s="1457"/>
      <c r="G4" s="1457"/>
      <c r="H4" s="132"/>
      <c r="I4" s="132"/>
      <c r="J4" s="132"/>
      <c r="K4" s="132"/>
      <c r="L4" s="132"/>
      <c r="M4" s="132"/>
    </row>
    <row r="5" spans="1:6" ht="18" customHeight="1">
      <c r="A5" s="80"/>
      <c r="B5" s="80"/>
      <c r="C5" s="80"/>
      <c r="D5" s="80"/>
      <c r="E5" s="80"/>
      <c r="F5" s="80"/>
    </row>
    <row r="6" spans="1:7" ht="19.5" customHeight="1">
      <c r="A6" s="60"/>
      <c r="B6" s="61"/>
      <c r="C6" s="19" t="s">
        <v>463</v>
      </c>
      <c r="E6" s="19" t="s">
        <v>464</v>
      </c>
      <c r="F6" s="115" t="s">
        <v>465</v>
      </c>
      <c r="G6" s="115" t="s">
        <v>466</v>
      </c>
    </row>
    <row r="7" spans="1:20" ht="18">
      <c r="A7" s="95"/>
      <c r="B7" s="96"/>
      <c r="C7" s="96"/>
      <c r="D7" s="96"/>
      <c r="E7"/>
      <c r="F7" s="7"/>
      <c r="G7" s="116"/>
      <c r="H7" s="21"/>
      <c r="I7" s="21"/>
      <c r="J7" s="21"/>
      <c r="K7" s="21"/>
      <c r="L7" s="21"/>
      <c r="M7" s="21"/>
      <c r="N7" s="21"/>
      <c r="O7" s="21"/>
      <c r="P7" s="21"/>
      <c r="Q7" s="21"/>
      <c r="R7" s="21"/>
      <c r="S7" s="21"/>
      <c r="T7" s="21"/>
    </row>
    <row r="8" spans="1:7" ht="18">
      <c r="A8" s="95" t="s">
        <v>470</v>
      </c>
      <c r="B8" s="96"/>
      <c r="C8" s="96"/>
      <c r="D8" s="96"/>
      <c r="E8" s="97" t="s">
        <v>421</v>
      </c>
      <c r="F8" s="117" t="s">
        <v>2</v>
      </c>
      <c r="G8" s="118"/>
    </row>
    <row r="9" spans="1:7" ht="18">
      <c r="A9" s="98" t="s">
        <v>420</v>
      </c>
      <c r="B9" s="119"/>
      <c r="C9" s="98" t="s">
        <v>269</v>
      </c>
      <c r="D9" s="119"/>
      <c r="E9" s="99" t="s">
        <v>484</v>
      </c>
      <c r="F9" s="98" t="s">
        <v>3</v>
      </c>
      <c r="G9" s="99" t="s">
        <v>4</v>
      </c>
    </row>
    <row r="10" spans="1:7" ht="18">
      <c r="A10" s="62"/>
      <c r="B10" s="61"/>
      <c r="C10" s="57"/>
      <c r="D10" s="57"/>
      <c r="E10" s="57"/>
      <c r="F10" s="117"/>
      <c r="G10" s="120"/>
    </row>
    <row r="11" spans="1:6" ht="19.5">
      <c r="A11" s="60">
        <v>1</v>
      </c>
      <c r="B11" s="61"/>
      <c r="C11" s="63" t="s">
        <v>127</v>
      </c>
      <c r="D11" s="61"/>
      <c r="E11" s="56"/>
      <c r="F11" s="59"/>
    </row>
    <row r="12" spans="1:7" ht="19.5">
      <c r="A12" s="60">
        <f>+A11+1</f>
        <v>2</v>
      </c>
      <c r="B12" s="61"/>
      <c r="C12" s="56" t="s">
        <v>112</v>
      </c>
      <c r="D12" s="61"/>
      <c r="E12" s="127">
        <f>SUM(F13:F19)</f>
        <v>0</v>
      </c>
      <c r="F12" s="69"/>
      <c r="G12" s="121"/>
    </row>
    <row r="13" spans="1:7" ht="19.5">
      <c r="A13" s="60"/>
      <c r="B13" s="61"/>
      <c r="C13" s="56"/>
      <c r="D13" s="61"/>
      <c r="E13" s="122"/>
      <c r="F13" s="1316"/>
      <c r="G13" s="123" t="s">
        <v>417</v>
      </c>
    </row>
    <row r="14" spans="1:7" ht="19.5">
      <c r="A14" s="60"/>
      <c r="B14" s="61"/>
      <c r="C14" s="56"/>
      <c r="D14" s="61"/>
      <c r="E14" s="122"/>
      <c r="F14" s="1316"/>
      <c r="G14" s="123" t="s">
        <v>417</v>
      </c>
    </row>
    <row r="15" spans="1:7" ht="19.5">
      <c r="A15" s="60"/>
      <c r="B15" s="61"/>
      <c r="C15" s="56"/>
      <c r="D15" s="61"/>
      <c r="E15" s="122"/>
      <c r="F15" s="644"/>
      <c r="G15" s="123" t="s">
        <v>417</v>
      </c>
    </row>
    <row r="16" spans="1:9" ht="19.5">
      <c r="A16" s="1059"/>
      <c r="B16" s="1060"/>
      <c r="C16" s="999"/>
      <c r="D16" s="1060"/>
      <c r="E16" s="998"/>
      <c r="F16" s="997"/>
      <c r="G16" s="996"/>
      <c r="H16" s="1000"/>
      <c r="I16" s="1000"/>
    </row>
    <row r="17" spans="1:9" ht="18">
      <c r="A17" s="1249"/>
      <c r="B17" s="1250"/>
      <c r="C17" s="1252" t="s">
        <v>463</v>
      </c>
      <c r="D17" s="1252" t="s">
        <v>464</v>
      </c>
      <c r="E17" s="1253" t="s">
        <v>465</v>
      </c>
      <c r="F17" s="1253" t="s">
        <v>466</v>
      </c>
      <c r="G17" s="1253" t="s">
        <v>386</v>
      </c>
      <c r="H17" s="1254" t="s">
        <v>387</v>
      </c>
      <c r="I17" s="1253" t="s">
        <v>388</v>
      </c>
    </row>
    <row r="18" spans="1:9" ht="47.25">
      <c r="A18" s="1249"/>
      <c r="B18" s="1250"/>
      <c r="C18" s="1255" t="s">
        <v>709</v>
      </c>
      <c r="D18" s="1256" t="s">
        <v>705</v>
      </c>
      <c r="E18" s="1257" t="s">
        <v>706</v>
      </c>
      <c r="F18" s="1257" t="s">
        <v>707</v>
      </c>
      <c r="G18" s="1257" t="s">
        <v>4</v>
      </c>
      <c r="H18" s="1258" t="s">
        <v>708</v>
      </c>
      <c r="I18" s="1258" t="s">
        <v>710</v>
      </c>
    </row>
    <row r="19" spans="1:9" ht="19.5">
      <c r="A19" s="1249"/>
      <c r="B19" s="1250"/>
      <c r="C19" s="69"/>
      <c r="D19" s="1250"/>
      <c r="E19" s="127"/>
      <c r="F19" s="1003"/>
      <c r="G19" s="121"/>
      <c r="H19" s="121"/>
      <c r="I19" s="121"/>
    </row>
    <row r="20" spans="1:9" ht="58.5">
      <c r="A20" s="1249">
        <f>+A12+1</f>
        <v>3</v>
      </c>
      <c r="B20" s="1250"/>
      <c r="C20" s="1251" t="str">
        <f>"Real Estate and Personal Property Taxes Total
 (Ln "&amp;A21&amp;" + Ln "&amp;A28&amp;" + Ln "&amp;A35&amp;" + Ln "&amp;A38&amp;")"</f>
        <v>Real Estate and Personal Property Taxes Total
 (Ln 4 + Ln 5 + Ln 6 + Ln 7)</v>
      </c>
      <c r="D20" s="1250"/>
      <c r="E20" s="1062">
        <f>E21+E28+E35+E38</f>
        <v>2752076</v>
      </c>
      <c r="F20" s="127"/>
      <c r="G20" s="69"/>
      <c r="H20" s="121"/>
      <c r="I20" s="1062">
        <f>I21+I28+I35+I38</f>
        <v>2752076</v>
      </c>
    </row>
    <row r="21" spans="1:9" ht="19.5">
      <c r="A21" s="60">
        <f>+A20+1</f>
        <v>4</v>
      </c>
      <c r="B21" s="61"/>
      <c r="C21" s="59" t="s">
        <v>623</v>
      </c>
      <c r="D21" s="59"/>
      <c r="E21" s="127">
        <f>SUM(F22:F27)</f>
        <v>2752076</v>
      </c>
      <c r="F21" s="122"/>
      <c r="G21" s="69"/>
      <c r="I21" s="127">
        <f>SUM(I22:I27)</f>
        <v>2752076</v>
      </c>
    </row>
    <row r="22" spans="1:9" ht="19.5">
      <c r="A22" s="60"/>
      <c r="B22" s="61"/>
      <c r="C22" s="59"/>
      <c r="D22" s="59"/>
      <c r="E22" s="1387">
        <v>2015</v>
      </c>
      <c r="F22" s="1352">
        <v>734246</v>
      </c>
      <c r="G22" s="123" t="s">
        <v>876</v>
      </c>
      <c r="H22" s="1004">
        <f>'[6]WS H-p1 Other Taxes'!$G$57</f>
        <v>1</v>
      </c>
      <c r="I22" s="1003">
        <f aca="true" t="shared" si="0" ref="I22:I27">F22*H22</f>
        <v>734246</v>
      </c>
    </row>
    <row r="23" spans="1:9" ht="19.5">
      <c r="A23" s="60"/>
      <c r="B23" s="61"/>
      <c r="C23" s="59"/>
      <c r="D23" s="59"/>
      <c r="E23" s="1387">
        <v>2016</v>
      </c>
      <c r="F23" s="1352">
        <v>2017830</v>
      </c>
      <c r="G23" s="123" t="s">
        <v>5</v>
      </c>
      <c r="H23" s="1004">
        <f>'[7]WS H-p1 Other Taxes'!$G$57</f>
        <v>1</v>
      </c>
      <c r="I23" s="1003">
        <f t="shared" si="0"/>
        <v>2017830</v>
      </c>
    </row>
    <row r="24" spans="1:9" ht="19.5">
      <c r="A24" s="60"/>
      <c r="B24" s="61"/>
      <c r="C24" s="59"/>
      <c r="D24" s="59"/>
      <c r="E24" s="127"/>
      <c r="F24" s="1317"/>
      <c r="G24" s="1005"/>
      <c r="H24" s="644"/>
      <c r="I24" s="1003">
        <f t="shared" si="0"/>
        <v>0</v>
      </c>
    </row>
    <row r="25" spans="1:9" ht="19.5">
      <c r="A25" s="60"/>
      <c r="B25" s="61"/>
      <c r="C25" s="59"/>
      <c r="D25" s="59"/>
      <c r="E25" s="127"/>
      <c r="F25" s="644"/>
      <c r="G25" s="1005"/>
      <c r="H25" s="644"/>
      <c r="I25" s="1003">
        <f t="shared" si="0"/>
        <v>0</v>
      </c>
    </row>
    <row r="26" spans="1:9" ht="19.5">
      <c r="A26" s="60"/>
      <c r="B26" s="61"/>
      <c r="C26" s="59"/>
      <c r="D26" s="59"/>
      <c r="E26" s="127"/>
      <c r="F26" s="644"/>
      <c r="G26" s="1005"/>
      <c r="H26" s="644"/>
      <c r="I26" s="1003">
        <f t="shared" si="0"/>
        <v>0</v>
      </c>
    </row>
    <row r="27" spans="1:9" ht="19.5">
      <c r="A27" s="60"/>
      <c r="B27" s="61"/>
      <c r="C27" s="59"/>
      <c r="D27" s="59"/>
      <c r="E27" s="127"/>
      <c r="F27" s="644"/>
      <c r="G27" s="1005"/>
      <c r="H27" s="644"/>
      <c r="I27" s="1003">
        <f t="shared" si="0"/>
        <v>0</v>
      </c>
    </row>
    <row r="28" spans="1:9" ht="19.5">
      <c r="A28" s="60">
        <f>+A21+1</f>
        <v>5</v>
      </c>
      <c r="B28" s="61"/>
      <c r="C28" s="59" t="s">
        <v>891</v>
      </c>
      <c r="D28" s="59"/>
      <c r="E28" s="127">
        <f>SUM(F29:F34)</f>
        <v>0</v>
      </c>
      <c r="F28" s="79"/>
      <c r="G28" s="69"/>
      <c r="I28" s="1058">
        <f>SUM(I29:I34)</f>
        <v>0</v>
      </c>
    </row>
    <row r="29" spans="1:9" ht="19.5">
      <c r="A29" s="60"/>
      <c r="B29" s="61"/>
      <c r="C29" s="59"/>
      <c r="D29" s="59"/>
      <c r="E29" s="127"/>
      <c r="F29" s="644"/>
      <c r="G29" s="1005"/>
      <c r="H29" s="1004"/>
      <c r="I29" s="1003">
        <f aca="true" t="shared" si="1" ref="I29:I34">F29*H29</f>
        <v>0</v>
      </c>
    </row>
    <row r="30" spans="1:9" ht="19.5">
      <c r="A30" s="60"/>
      <c r="B30" s="61"/>
      <c r="C30" s="59"/>
      <c r="D30" s="59"/>
      <c r="E30" s="127"/>
      <c r="F30" s="644"/>
      <c r="G30" s="1005"/>
      <c r="H30" s="644"/>
      <c r="I30" s="1003">
        <f t="shared" si="1"/>
        <v>0</v>
      </c>
    </row>
    <row r="31" spans="1:9" ht="19.5">
      <c r="A31" s="60"/>
      <c r="B31" s="61"/>
      <c r="C31" s="59"/>
      <c r="D31" s="59"/>
      <c r="E31" s="127"/>
      <c r="F31" s="644"/>
      <c r="G31" s="1005"/>
      <c r="H31" s="644"/>
      <c r="I31" s="1003">
        <f t="shared" si="1"/>
        <v>0</v>
      </c>
    </row>
    <row r="32" spans="1:9" ht="19.5">
      <c r="A32" s="60"/>
      <c r="B32" s="61"/>
      <c r="C32" s="59"/>
      <c r="D32" s="59"/>
      <c r="E32" s="127"/>
      <c r="F32" s="644"/>
      <c r="G32" s="1005"/>
      <c r="H32" s="644"/>
      <c r="I32" s="1003">
        <f t="shared" si="1"/>
        <v>0</v>
      </c>
    </row>
    <row r="33" spans="1:9" ht="19.5">
      <c r="A33" s="60"/>
      <c r="B33" s="61"/>
      <c r="C33" s="59"/>
      <c r="D33" s="59"/>
      <c r="E33" s="127"/>
      <c r="F33" s="644"/>
      <c r="G33" s="1005"/>
      <c r="H33" s="644"/>
      <c r="I33" s="1003">
        <f t="shared" si="1"/>
        <v>0</v>
      </c>
    </row>
    <row r="34" spans="1:9" ht="19.5">
      <c r="A34" s="60"/>
      <c r="B34" s="61"/>
      <c r="C34" s="59"/>
      <c r="D34" s="59"/>
      <c r="E34" s="127"/>
      <c r="F34" s="644"/>
      <c r="G34" s="1005"/>
      <c r="H34" s="644"/>
      <c r="I34" s="1003">
        <f t="shared" si="1"/>
        <v>0</v>
      </c>
    </row>
    <row r="35" spans="1:9" ht="19.5">
      <c r="A35" s="60">
        <f>+A28+1</f>
        <v>6</v>
      </c>
      <c r="B35" s="61"/>
      <c r="C35" s="59" t="s">
        <v>625</v>
      </c>
      <c r="D35" s="59"/>
      <c r="E35" s="127">
        <f>+F36+F37</f>
        <v>0</v>
      </c>
      <c r="F35" s="69"/>
      <c r="I35" s="1058">
        <f>SUM(I36:I37)</f>
        <v>0</v>
      </c>
    </row>
    <row r="36" spans="1:9" ht="19.5">
      <c r="A36" s="60"/>
      <c r="B36" s="61"/>
      <c r="C36" s="59"/>
      <c r="D36" s="59"/>
      <c r="E36" s="127"/>
      <c r="F36" s="644"/>
      <c r="G36" s="1005"/>
      <c r="H36" s="1004"/>
      <c r="I36" s="1003">
        <f>F36*H36</f>
        <v>0</v>
      </c>
    </row>
    <row r="37" spans="1:9" ht="19.5">
      <c r="A37" s="60"/>
      <c r="B37" s="61"/>
      <c r="C37" s="59"/>
      <c r="D37" s="59"/>
      <c r="E37" s="127"/>
      <c r="F37" s="644"/>
      <c r="G37" s="1005"/>
      <c r="H37" s="644"/>
      <c r="I37" s="1003">
        <f>F37*H37</f>
        <v>0</v>
      </c>
    </row>
    <row r="38" spans="1:9" ht="19.5">
      <c r="A38" s="60">
        <f>+A35+1</f>
        <v>7</v>
      </c>
      <c r="B38" s="61"/>
      <c r="C38" s="59" t="s">
        <v>252</v>
      </c>
      <c r="D38" s="104"/>
      <c r="E38" s="127">
        <f>+F39</f>
        <v>0</v>
      </c>
      <c r="F38" s="124"/>
      <c r="I38" s="1058">
        <f>SUM(I39)</f>
        <v>0</v>
      </c>
    </row>
    <row r="39" spans="1:9" ht="19.5">
      <c r="A39" s="60"/>
      <c r="B39" s="61"/>
      <c r="C39" s="59"/>
      <c r="D39" s="104"/>
      <c r="E39" s="127"/>
      <c r="F39" s="644"/>
      <c r="G39" s="1005"/>
      <c r="H39" s="644"/>
      <c r="I39" s="1003">
        <f>F39*H39</f>
        <v>0</v>
      </c>
    </row>
    <row r="40" spans="1:9" ht="19.5">
      <c r="A40" s="1059"/>
      <c r="B40" s="1060"/>
      <c r="C40" s="1061"/>
      <c r="D40" s="1002"/>
      <c r="E40" s="1062"/>
      <c r="F40" s="1001"/>
      <c r="G40" s="1000"/>
      <c r="H40" s="1000"/>
      <c r="I40" s="1000"/>
    </row>
    <row r="41" spans="1:6" ht="23.25" customHeight="1">
      <c r="A41" s="60"/>
      <c r="B41" s="61"/>
      <c r="C41" s="59"/>
      <c r="D41" s="104"/>
      <c r="E41" s="127"/>
      <c r="F41" s="124"/>
    </row>
    <row r="42" spans="1:7" ht="18">
      <c r="A42" s="60"/>
      <c r="B42" s="61"/>
      <c r="C42" s="19" t="s">
        <v>463</v>
      </c>
      <c r="E42" s="19" t="s">
        <v>464</v>
      </c>
      <c r="F42" s="115" t="s">
        <v>465</v>
      </c>
      <c r="G42" s="115" t="s">
        <v>466</v>
      </c>
    </row>
    <row r="43" spans="1:7" ht="18">
      <c r="A43" s="95"/>
      <c r="B43" s="96"/>
      <c r="C43" s="96"/>
      <c r="D43" s="96"/>
      <c r="E43"/>
      <c r="F43" s="7"/>
      <c r="G43" s="116"/>
    </row>
    <row r="44" spans="1:7" ht="18">
      <c r="A44" s="95" t="s">
        <v>470</v>
      </c>
      <c r="B44" s="96"/>
      <c r="C44" s="96"/>
      <c r="D44" s="96"/>
      <c r="E44" s="97" t="s">
        <v>421</v>
      </c>
      <c r="F44" s="117" t="s">
        <v>2</v>
      </c>
      <c r="G44" s="118"/>
    </row>
    <row r="45" spans="1:7" ht="18">
      <c r="A45" s="98" t="s">
        <v>420</v>
      </c>
      <c r="B45" s="119"/>
      <c r="C45" s="98" t="s">
        <v>269</v>
      </c>
      <c r="D45" s="119"/>
      <c r="E45" s="99" t="s">
        <v>484</v>
      </c>
      <c r="F45" s="98" t="s">
        <v>3</v>
      </c>
      <c r="G45" s="99" t="s">
        <v>4</v>
      </c>
    </row>
    <row r="46" spans="1:5" ht="19.5">
      <c r="A46" s="60"/>
      <c r="B46" s="61"/>
      <c r="C46" s="64"/>
      <c r="D46" s="61"/>
      <c r="E46" s="128"/>
    </row>
    <row r="47" spans="1:7" ht="19.5">
      <c r="A47" s="60">
        <f>+A38+1</f>
        <v>8</v>
      </c>
      <c r="B47" s="61"/>
      <c r="C47" s="63" t="s">
        <v>129</v>
      </c>
      <c r="D47" s="61"/>
      <c r="E47" s="128"/>
      <c r="F47" s="125"/>
      <c r="G47" s="69"/>
    </row>
    <row r="48" spans="1:7" ht="19.5">
      <c r="A48" s="60">
        <f>+A47+1</f>
        <v>9</v>
      </c>
      <c r="B48" s="61"/>
      <c r="C48" s="59" t="s">
        <v>125</v>
      </c>
      <c r="D48" s="61"/>
      <c r="E48" s="127">
        <f>+F49</f>
        <v>0</v>
      </c>
      <c r="F48" s="69"/>
      <c r="G48" s="69"/>
    </row>
    <row r="49" spans="1:7" ht="19.5">
      <c r="A49" s="60"/>
      <c r="B49" s="61"/>
      <c r="C49" s="59"/>
      <c r="D49" s="61"/>
      <c r="E49" s="127"/>
      <c r="F49" s="644"/>
      <c r="G49" s="123"/>
    </row>
    <row r="50" spans="1:7" ht="19.5">
      <c r="A50" s="60">
        <f>+A48+1</f>
        <v>10</v>
      </c>
      <c r="B50" s="61"/>
      <c r="C50" s="59" t="s">
        <v>118</v>
      </c>
      <c r="D50" s="61"/>
      <c r="E50" s="127">
        <f>+F51</f>
        <v>0</v>
      </c>
      <c r="F50" s="69"/>
      <c r="G50" s="69"/>
    </row>
    <row r="51" spans="1:7" ht="19.5">
      <c r="A51" s="60"/>
      <c r="B51" s="61"/>
      <c r="C51" s="59"/>
      <c r="D51" s="61"/>
      <c r="E51" s="127"/>
      <c r="F51" s="644"/>
      <c r="G51" s="123"/>
    </row>
    <row r="52" spans="1:7" ht="19.5">
      <c r="A52" s="60">
        <f>+A50+1</f>
        <v>11</v>
      </c>
      <c r="B52" s="61"/>
      <c r="C52" s="59" t="s">
        <v>119</v>
      </c>
      <c r="D52" s="61"/>
      <c r="E52" s="127">
        <f>+F53+F54+F55</f>
        <v>0</v>
      </c>
      <c r="F52" s="69"/>
      <c r="G52" s="69"/>
    </row>
    <row r="53" spans="1:7" ht="19.5">
      <c r="A53" s="60" t="s">
        <v>417</v>
      </c>
      <c r="B53" s="61"/>
      <c r="C53" s="56"/>
      <c r="D53" s="61"/>
      <c r="E53" s="128"/>
      <c r="F53" s="644"/>
      <c r="G53" s="123"/>
    </row>
    <row r="54" spans="1:7" ht="19.5">
      <c r="A54" s="60"/>
      <c r="B54" s="61"/>
      <c r="C54" s="56"/>
      <c r="D54" s="61"/>
      <c r="E54" s="128"/>
      <c r="F54" s="644"/>
      <c r="G54" s="123"/>
    </row>
    <row r="55" spans="1:7" ht="19.5">
      <c r="A55" s="60"/>
      <c r="B55" s="61"/>
      <c r="C55" s="56"/>
      <c r="D55" s="61"/>
      <c r="E55" s="128"/>
      <c r="F55" s="644"/>
      <c r="G55" s="123"/>
    </row>
    <row r="56" spans="1:7" ht="19.5">
      <c r="A56" s="60">
        <f>A52+1</f>
        <v>12</v>
      </c>
      <c r="B56" s="61"/>
      <c r="C56" s="134" t="s">
        <v>324</v>
      </c>
      <c r="D56" s="61"/>
      <c r="E56" s="133"/>
      <c r="F56" s="69"/>
      <c r="G56" s="69"/>
    </row>
    <row r="57" spans="1:7" ht="19.5">
      <c r="A57" s="60">
        <f>A56+1</f>
        <v>13</v>
      </c>
      <c r="B57" s="61"/>
      <c r="C57" s="69" t="s">
        <v>223</v>
      </c>
      <c r="D57" s="104"/>
      <c r="E57" s="127">
        <f>+F58</f>
        <v>0</v>
      </c>
      <c r="G57" s="69"/>
    </row>
    <row r="58" spans="1:7" ht="19.5">
      <c r="A58" s="60"/>
      <c r="B58" s="61"/>
      <c r="C58" s="56"/>
      <c r="D58" s="61"/>
      <c r="E58" s="128"/>
      <c r="F58" s="644"/>
      <c r="G58" s="69"/>
    </row>
    <row r="59" spans="1:7" ht="19.5">
      <c r="A59" s="66">
        <f>A57+1</f>
        <v>14</v>
      </c>
      <c r="B59" s="67"/>
      <c r="C59" s="63" t="s">
        <v>126</v>
      </c>
      <c r="D59" s="68"/>
      <c r="E59" s="128"/>
      <c r="F59" s="122"/>
      <c r="G59" s="69"/>
    </row>
    <row r="60" spans="1:7" ht="19.5">
      <c r="A60" s="66">
        <f>A59+1</f>
        <v>15</v>
      </c>
      <c r="B60" s="67"/>
      <c r="C60" s="56" t="s">
        <v>222</v>
      </c>
      <c r="D60" s="68"/>
      <c r="E60" s="127">
        <f>+F61+F62</f>
        <v>0</v>
      </c>
      <c r="F60" s="69"/>
      <c r="G60" s="69"/>
    </row>
    <row r="61" spans="1:7" ht="19.5">
      <c r="A61" s="66"/>
      <c r="B61" s="67"/>
      <c r="C61" s="56"/>
      <c r="D61" s="68"/>
      <c r="E61" s="127"/>
      <c r="F61" s="644"/>
      <c r="G61" s="123"/>
    </row>
    <row r="62" spans="1:7" ht="19.5">
      <c r="A62" s="66"/>
      <c r="B62" s="67"/>
      <c r="C62" s="56"/>
      <c r="D62" s="68"/>
      <c r="E62" s="127"/>
      <c r="F62" s="644"/>
      <c r="G62" s="123"/>
    </row>
    <row r="63" spans="1:7" ht="19.5">
      <c r="A63" s="60">
        <f>A60+1</f>
        <v>16</v>
      </c>
      <c r="B63" s="61"/>
      <c r="C63" s="56" t="s">
        <v>120</v>
      </c>
      <c r="D63" s="61"/>
      <c r="E63" s="79">
        <f>+F64+F65+F66</f>
        <v>0</v>
      </c>
      <c r="F63" s="69"/>
      <c r="G63" s="69"/>
    </row>
    <row r="64" spans="1:7" ht="19.5">
      <c r="A64" s="60"/>
      <c r="B64" s="61"/>
      <c r="C64" s="56"/>
      <c r="D64" s="61"/>
      <c r="E64" s="79"/>
      <c r="F64" s="1318"/>
      <c r="G64" s="123"/>
    </row>
    <row r="65" spans="1:7" ht="19.5">
      <c r="A65" s="60"/>
      <c r="B65" s="61"/>
      <c r="C65" s="56"/>
      <c r="D65" s="61"/>
      <c r="E65" s="79"/>
      <c r="F65" s="644"/>
      <c r="G65" s="123"/>
    </row>
    <row r="66" spans="1:7" ht="19.5">
      <c r="A66" s="60"/>
      <c r="B66" s="61"/>
      <c r="C66" s="56"/>
      <c r="D66" s="61"/>
      <c r="E66" s="79"/>
      <c r="F66" s="644"/>
      <c r="G66" s="123"/>
    </row>
    <row r="67" spans="1:7" ht="19.5">
      <c r="A67" s="60">
        <f>+A63+1</f>
        <v>17</v>
      </c>
      <c r="B67" s="61"/>
      <c r="C67" s="56" t="s">
        <v>121</v>
      </c>
      <c r="D67"/>
      <c r="E67" s="79">
        <f>SUM(F68:F78)</f>
        <v>-935</v>
      </c>
      <c r="F67" s="69"/>
      <c r="G67" s="69"/>
    </row>
    <row r="68" spans="1:7" ht="19.5">
      <c r="A68" s="60"/>
      <c r="B68" s="61"/>
      <c r="C68" s="56"/>
      <c r="D68"/>
      <c r="E68" s="79"/>
      <c r="F68" s="1353">
        <v>-935</v>
      </c>
      <c r="G68" s="123" t="s">
        <v>911</v>
      </c>
    </row>
    <row r="69" spans="1:7" ht="19.5">
      <c r="A69" s="60"/>
      <c r="B69" s="61"/>
      <c r="C69" s="56"/>
      <c r="D69"/>
      <c r="E69" s="79"/>
      <c r="F69" s="644"/>
      <c r="G69" s="123"/>
    </row>
    <row r="70" spans="1:7" ht="19.5">
      <c r="A70" s="60"/>
      <c r="B70" s="61"/>
      <c r="C70" s="56"/>
      <c r="D70"/>
      <c r="E70" s="79"/>
      <c r="F70" s="644"/>
      <c r="G70" s="123"/>
    </row>
    <row r="71" spans="1:7" ht="19.5">
      <c r="A71" s="60"/>
      <c r="B71" s="61"/>
      <c r="C71" s="56"/>
      <c r="D71"/>
      <c r="E71" s="79"/>
      <c r="F71" s="644"/>
      <c r="G71" s="123"/>
    </row>
    <row r="72" spans="1:7" ht="19.5">
      <c r="A72" s="60"/>
      <c r="B72" s="61"/>
      <c r="C72" s="56"/>
      <c r="D72"/>
      <c r="E72" s="79"/>
      <c r="F72" s="644"/>
      <c r="G72" s="123"/>
    </row>
    <row r="73" spans="1:7" ht="19.5">
      <c r="A73" s="60"/>
      <c r="B73" s="61"/>
      <c r="C73" s="56"/>
      <c r="D73"/>
      <c r="E73" s="79"/>
      <c r="F73" s="644"/>
      <c r="G73" s="123"/>
    </row>
    <row r="74" spans="1:7" ht="19.5">
      <c r="A74" s="60"/>
      <c r="B74" s="61"/>
      <c r="C74" s="56"/>
      <c r="D74"/>
      <c r="E74" s="79"/>
      <c r="F74" s="644"/>
      <c r="G74" s="123"/>
    </row>
    <row r="75" spans="1:7" ht="19.5">
      <c r="A75" s="60"/>
      <c r="B75" s="61"/>
      <c r="C75" s="56"/>
      <c r="D75"/>
      <c r="E75" s="79"/>
      <c r="F75" s="644"/>
      <c r="G75" s="123"/>
    </row>
    <row r="76" spans="1:7" ht="19.5">
      <c r="A76" s="60"/>
      <c r="B76" s="61"/>
      <c r="C76" s="56"/>
      <c r="D76"/>
      <c r="E76" s="79"/>
      <c r="F76" s="644"/>
      <c r="G76" s="123"/>
    </row>
    <row r="77" spans="1:7" ht="19.5">
      <c r="A77" s="60"/>
      <c r="B77" s="61"/>
      <c r="C77" s="56"/>
      <c r="D77"/>
      <c r="E77" s="79"/>
      <c r="F77" s="644"/>
      <c r="G77" s="123"/>
    </row>
    <row r="78" spans="1:7" ht="19.5">
      <c r="A78" s="60"/>
      <c r="B78" s="61"/>
      <c r="C78" s="56"/>
      <c r="D78"/>
      <c r="E78" s="79"/>
      <c r="F78" s="644"/>
      <c r="G78" s="123"/>
    </row>
    <row r="79" spans="1:7" ht="19.5">
      <c r="A79" s="60">
        <f>+A67+1</f>
        <v>18</v>
      </c>
      <c r="B79" s="61"/>
      <c r="C79" s="56" t="s">
        <v>122</v>
      </c>
      <c r="D79"/>
      <c r="E79" s="79">
        <f>SUM(F80:F83)</f>
        <v>25</v>
      </c>
      <c r="F79" s="69"/>
      <c r="G79" s="69"/>
    </row>
    <row r="80" spans="1:7" ht="19.5">
      <c r="A80" s="60"/>
      <c r="B80" s="61"/>
      <c r="C80" s="56"/>
      <c r="D80"/>
      <c r="E80" s="79"/>
      <c r="F80" s="1354">
        <v>25</v>
      </c>
      <c r="G80" s="123" t="s">
        <v>912</v>
      </c>
    </row>
    <row r="81" spans="1:7" ht="19.5">
      <c r="A81" s="60"/>
      <c r="B81" s="61"/>
      <c r="C81" s="56"/>
      <c r="D81"/>
      <c r="E81" s="79"/>
      <c r="F81" s="644"/>
      <c r="G81" s="123"/>
    </row>
    <row r="82" spans="1:7" ht="19.5">
      <c r="A82" s="60"/>
      <c r="B82" s="61"/>
      <c r="C82" s="56"/>
      <c r="D82"/>
      <c r="E82" s="79"/>
      <c r="F82" s="644"/>
      <c r="G82" s="123"/>
    </row>
    <row r="83" spans="1:7" ht="19.5">
      <c r="A83" s="60"/>
      <c r="B83" s="61"/>
      <c r="C83" s="56"/>
      <c r="D83"/>
      <c r="E83" s="79"/>
      <c r="F83" s="644"/>
      <c r="G83" s="123"/>
    </row>
    <row r="84" spans="1:7" ht="19.5">
      <c r="A84" s="60">
        <f>+A79+1</f>
        <v>19</v>
      </c>
      <c r="B84" s="61"/>
      <c r="C84" s="56" t="s">
        <v>123</v>
      </c>
      <c r="D84" s="61"/>
      <c r="E84" s="79">
        <f>F85</f>
        <v>0</v>
      </c>
      <c r="F84" s="69"/>
      <c r="G84" s="69"/>
    </row>
    <row r="85" spans="1:7" ht="19.5">
      <c r="A85" s="60"/>
      <c r="B85" s="61"/>
      <c r="C85" s="56"/>
      <c r="D85" s="61"/>
      <c r="E85" s="79"/>
      <c r="F85" s="644"/>
      <c r="G85" s="123"/>
    </row>
    <row r="86" spans="1:7" ht="19.5">
      <c r="A86" s="60"/>
      <c r="B86" s="61"/>
      <c r="C86" s="56"/>
      <c r="D86" s="61"/>
      <c r="E86" s="79"/>
      <c r="F86" s="126"/>
      <c r="G86" s="69"/>
    </row>
    <row r="87" spans="1:7" ht="19.5">
      <c r="A87" s="60">
        <f>+A84+1</f>
        <v>20</v>
      </c>
      <c r="B87" s="61"/>
      <c r="C87" s="56" t="s">
        <v>124</v>
      </c>
      <c r="D87" s="61"/>
      <c r="E87" s="79">
        <f>SUM(F88:F92)</f>
        <v>-1</v>
      </c>
      <c r="F87" s="69"/>
      <c r="G87" s="123" t="s">
        <v>417</v>
      </c>
    </row>
    <row r="88" spans="1:7" ht="19.5">
      <c r="A88" s="60"/>
      <c r="B88" s="61"/>
      <c r="C88" s="56"/>
      <c r="D88" s="61"/>
      <c r="E88" s="79"/>
      <c r="F88" s="1355">
        <v>-1</v>
      </c>
      <c r="G88" s="123" t="s">
        <v>913</v>
      </c>
    </row>
    <row r="89" spans="1:7" ht="19.5">
      <c r="A89" s="60"/>
      <c r="B89" s="61"/>
      <c r="C89" s="56"/>
      <c r="D89" s="61"/>
      <c r="E89" s="79"/>
      <c r="F89" s="644"/>
      <c r="G89" s="123"/>
    </row>
    <row r="90" spans="1:7" ht="19.5">
      <c r="A90" s="60"/>
      <c r="B90" s="61"/>
      <c r="C90" s="56"/>
      <c r="D90" s="61"/>
      <c r="E90" s="79"/>
      <c r="F90" s="644"/>
      <c r="G90" s="123"/>
    </row>
    <row r="91" spans="1:7" ht="19.5">
      <c r="A91" s="60"/>
      <c r="B91" s="61"/>
      <c r="C91" s="56"/>
      <c r="D91" s="61"/>
      <c r="E91" s="79"/>
      <c r="F91" s="644"/>
      <c r="G91" s="123"/>
    </row>
    <row r="92" spans="1:7" ht="19.5">
      <c r="A92" s="60"/>
      <c r="B92" s="61"/>
      <c r="C92" s="56"/>
      <c r="D92" s="61"/>
      <c r="E92" s="79"/>
      <c r="F92" s="644"/>
      <c r="G92" s="123"/>
    </row>
    <row r="93" spans="1:7" ht="19.5">
      <c r="A93" s="60">
        <f>+A87+1</f>
        <v>21</v>
      </c>
      <c r="B93" s="56"/>
      <c r="C93" s="56" t="s">
        <v>113</v>
      </c>
      <c r="D93" s="56"/>
      <c r="E93" s="79">
        <f>SUM(F94:F95)</f>
        <v>0</v>
      </c>
      <c r="F93" s="126"/>
      <c r="G93" s="123"/>
    </row>
    <row r="94" spans="1:7" ht="19.5">
      <c r="A94" s="60"/>
      <c r="B94" s="56"/>
      <c r="C94" s="56"/>
      <c r="D94" s="56"/>
      <c r="E94" s="121"/>
      <c r="F94" s="644"/>
      <c r="G94" s="123"/>
    </row>
    <row r="95" spans="1:7" ht="19.5">
      <c r="A95" s="60"/>
      <c r="B95" s="56"/>
      <c r="C95" s="56"/>
      <c r="D95" s="56"/>
      <c r="E95" s="121"/>
      <c r="F95" s="644"/>
      <c r="G95" s="123"/>
    </row>
    <row r="96" spans="1:7" ht="19.5">
      <c r="A96" s="60">
        <f>+A93+1</f>
        <v>22</v>
      </c>
      <c r="B96" s="56"/>
      <c r="C96" s="73" t="s">
        <v>409</v>
      </c>
      <c r="D96" s="69"/>
      <c r="E96" s="127">
        <f>+F97</f>
        <v>0</v>
      </c>
      <c r="G96" s="69"/>
    </row>
    <row r="97" spans="1:7" ht="19.5">
      <c r="A97" s="60"/>
      <c r="B97" s="56"/>
      <c r="C97" s="73"/>
      <c r="D97" s="69"/>
      <c r="E97" s="128"/>
      <c r="F97" s="644"/>
      <c r="G97" s="69"/>
    </row>
    <row r="98" spans="1:7" ht="19.5">
      <c r="A98" s="4"/>
      <c r="B98" s="114"/>
      <c r="C98" s="114"/>
      <c r="D98"/>
      <c r="E98"/>
      <c r="F98" s="126"/>
      <c r="G98" s="69"/>
    </row>
    <row r="99" spans="1:7" ht="20.25" thickBot="1">
      <c r="A99" s="111">
        <f>+A96+1</f>
        <v>23</v>
      </c>
      <c r="B99" s="114"/>
      <c r="C99" s="56" t="s">
        <v>117</v>
      </c>
      <c r="D99"/>
      <c r="E99" s="72">
        <f>SUM(E12,E20,E48:E96)</f>
        <v>2751165</v>
      </c>
      <c r="F99" s="72">
        <f>SUM(F12:F97)</f>
        <v>2751165</v>
      </c>
      <c r="G99" s="69"/>
    </row>
    <row r="100" spans="1:7" ht="20.25" thickTop="1">
      <c r="A100" s="4"/>
      <c r="B100" s="114"/>
      <c r="C100" s="56" t="s">
        <v>182</v>
      </c>
      <c r="D100"/>
      <c r="E100"/>
      <c r="F100" s="69"/>
      <c r="G100" s="69"/>
    </row>
    <row r="101" spans="1:7" ht="19.5">
      <c r="A101" s="4"/>
      <c r="B101" s="114"/>
      <c r="C101" s="56"/>
      <c r="D101"/>
      <c r="E101"/>
      <c r="F101" s="79" t="s">
        <v>417</v>
      </c>
      <c r="G101" s="69"/>
    </row>
    <row r="102" spans="1:7" ht="21.75" customHeight="1">
      <c r="A102" s="1455" t="s">
        <v>783</v>
      </c>
      <c r="B102" s="1455"/>
      <c r="C102" s="1455"/>
      <c r="D102" s="1455"/>
      <c r="E102" s="1455"/>
      <c r="F102" s="1455"/>
      <c r="G102" s="1455"/>
    </row>
    <row r="103" spans="1:7" ht="21.75" customHeight="1">
      <c r="A103" s="1455"/>
      <c r="B103" s="1455"/>
      <c r="C103" s="1455"/>
      <c r="D103" s="1455"/>
      <c r="E103" s="1455"/>
      <c r="F103" s="1455"/>
      <c r="G103" s="1455"/>
    </row>
    <row r="104" spans="1:7" ht="21.75" customHeight="1">
      <c r="A104" s="1455"/>
      <c r="B104" s="1455"/>
      <c r="C104" s="1455"/>
      <c r="D104" s="1455"/>
      <c r="E104" s="1455"/>
      <c r="F104" s="1455"/>
      <c r="G104" s="1455"/>
    </row>
    <row r="105" spans="1:7" ht="21.75" customHeight="1">
      <c r="A105" s="1455"/>
      <c r="B105" s="1455"/>
      <c r="C105" s="1455"/>
      <c r="D105" s="1455"/>
      <c r="E105" s="1455"/>
      <c r="F105" s="1455"/>
      <c r="G105" s="1455"/>
    </row>
    <row r="106" spans="1:7" ht="21.75" customHeight="1">
      <c r="A106" s="1455"/>
      <c r="B106" s="1455"/>
      <c r="C106" s="1455"/>
      <c r="D106" s="1455"/>
      <c r="E106" s="1455"/>
      <c r="F106" s="1455"/>
      <c r="G106" s="1455"/>
    </row>
    <row r="107" spans="1:7" ht="19.5">
      <c r="A107" s="1259"/>
      <c r="B107" s="78"/>
      <c r="C107" s="78"/>
      <c r="D107" s="78"/>
      <c r="E107" s="1260"/>
      <c r="F107" s="69"/>
      <c r="G107" s="69"/>
    </row>
    <row r="108" spans="1:7" ht="30" customHeight="1">
      <c r="A108" s="1453" t="s">
        <v>711</v>
      </c>
      <c r="B108" s="1453"/>
      <c r="C108" s="1453"/>
      <c r="D108" s="1453"/>
      <c r="E108" s="1453"/>
      <c r="F108" s="1453"/>
      <c r="G108" s="1453"/>
    </row>
    <row r="109" spans="1:7" ht="30" customHeight="1">
      <c r="A109" s="1453"/>
      <c r="B109" s="1453"/>
      <c r="C109" s="1453"/>
      <c r="D109" s="1453"/>
      <c r="E109" s="1453"/>
      <c r="F109" s="1453"/>
      <c r="G109" s="1453"/>
    </row>
    <row r="110" spans="2:7" ht="19.5">
      <c r="B110" s="78"/>
      <c r="F110" s="126"/>
      <c r="G110" s="69"/>
    </row>
    <row r="111" spans="2:7" ht="19.5">
      <c r="B111" s="78"/>
      <c r="F111" s="126"/>
      <c r="G111" s="69"/>
    </row>
    <row r="112" spans="2:7" ht="19.5">
      <c r="B112" s="78"/>
      <c r="F112" s="69"/>
      <c r="G112" s="121"/>
    </row>
    <row r="113" spans="2:7" ht="19.5">
      <c r="B113" s="78"/>
      <c r="F113" s="69"/>
      <c r="G113" s="121"/>
    </row>
    <row r="114" spans="2:7" ht="19.5">
      <c r="B114" s="78"/>
      <c r="F114" s="69"/>
      <c r="G114" s="121"/>
    </row>
    <row r="115" spans="2:7" ht="19.5">
      <c r="B115" s="78"/>
      <c r="F115" s="69"/>
      <c r="G115" s="121"/>
    </row>
    <row r="116" ht="12.75">
      <c r="B116" s="78"/>
    </row>
    <row r="117" ht="12.75">
      <c r="B117" s="78"/>
    </row>
    <row r="118" ht="12.75">
      <c r="B118" s="78"/>
    </row>
    <row r="119" ht="12.75">
      <c r="B119" s="78"/>
    </row>
    <row r="120" ht="12.75">
      <c r="B120" s="78"/>
    </row>
    <row r="121" ht="12.75">
      <c r="B121" s="78"/>
    </row>
  </sheetData>
  <sheetProtection/>
  <mergeCells count="7">
    <mergeCell ref="A108:G109"/>
    <mergeCell ref="H2:M2"/>
    <mergeCell ref="A102:G106"/>
    <mergeCell ref="A1:G1"/>
    <mergeCell ref="A2:G2"/>
    <mergeCell ref="A3:G3"/>
    <mergeCell ref="A4:G4"/>
  </mergeCells>
  <printOptions/>
  <pageMargins left="0.82" right="1.28" top="0.67" bottom="0.56" header="0.75" footer="0.28"/>
  <pageSetup fitToHeight="1" fitToWidth="1" horizontalDpi="600" verticalDpi="600" orientation="portrait" scale="37" r:id="rId1"/>
  <headerFooter alignWithMargins="0">
    <oddHeader>&amp;R&amp;"Arial,Bold"Formula Rate 
&amp;A
Page &amp;P of &amp;N</oddHeader>
  </headerFooter>
  <colBreaks count="1" manualBreakCount="1">
    <brk id="5" max="93" man="1"/>
  </colBreaks>
</worksheet>
</file>

<file path=xl/worksheets/sheet13.xml><?xml version="1.0" encoding="utf-8"?>
<worksheet xmlns="http://schemas.openxmlformats.org/spreadsheetml/2006/main" xmlns:r="http://schemas.openxmlformats.org/officeDocument/2006/relationships">
  <sheetPr>
    <pageSetUpPr fitToPage="1"/>
  </sheetPr>
  <dimension ref="A1:M26"/>
  <sheetViews>
    <sheetView zoomScalePageLayoutView="0" workbookViewId="0" topLeftCell="A1">
      <selection activeCell="A1" sqref="A1:J1"/>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8515625" style="0" customWidth="1"/>
    <col min="7" max="7" width="19.421875" style="0" customWidth="1"/>
    <col min="8" max="8" width="17.28125" style="0" customWidth="1"/>
    <col min="9" max="9" width="18.7109375" style="0" customWidth="1"/>
    <col min="10" max="10" width="1.421875" style="0" customWidth="1"/>
  </cols>
  <sheetData>
    <row r="1" spans="1:13" ht="18">
      <c r="A1" s="1459" t="str">
        <f>TCOS!$F$3</f>
        <v>AEPTCo subsidiaries in PJM</v>
      </c>
      <c r="B1" s="1459" t="str">
        <f>TCOS!$F$3</f>
        <v>AEPTCo subsidiaries in PJM</v>
      </c>
      <c r="C1" s="1459" t="str">
        <f>TCOS!$F$3</f>
        <v>AEPTCo subsidiaries in PJM</v>
      </c>
      <c r="D1" s="1459" t="str">
        <f>TCOS!$F$3</f>
        <v>AEPTCo subsidiaries in PJM</v>
      </c>
      <c r="E1" s="1459" t="str">
        <f>TCOS!$F$3</f>
        <v>AEPTCo subsidiaries in PJM</v>
      </c>
      <c r="F1" s="1459" t="str">
        <f>TCOS!$F$3</f>
        <v>AEPTCo subsidiaries in PJM</v>
      </c>
      <c r="G1" s="1459" t="str">
        <f>TCOS!$F$3</f>
        <v>AEPTCo subsidiaries in PJM</v>
      </c>
      <c r="H1" s="1459" t="str">
        <f>TCOS!$F$3</f>
        <v>AEPTCo subsidiaries in PJM</v>
      </c>
      <c r="I1" s="1459" t="str">
        <f>TCOS!$F$3</f>
        <v>AEPTCo subsidiaries in PJM</v>
      </c>
      <c r="J1" s="1459" t="str">
        <f>TCOS!$F$3</f>
        <v>AEPTCo subsidiaries in PJM</v>
      </c>
      <c r="K1" s="76"/>
      <c r="L1" s="76"/>
      <c r="M1" s="76"/>
    </row>
    <row r="2" spans="1:13" ht="18">
      <c r="A2" s="1458" t="str">
        <f>"Cost of Service Formula Rate Using Actual/Projected FF1 Balances"</f>
        <v>Cost of Service Formula Rate Using Actual/Projected FF1 Balances</v>
      </c>
      <c r="B2" s="1458"/>
      <c r="C2" s="1458"/>
      <c r="D2" s="1458"/>
      <c r="E2" s="1458"/>
      <c r="F2" s="1458"/>
      <c r="G2" s="1458"/>
      <c r="H2" s="1458"/>
      <c r="I2" s="1458"/>
      <c r="J2" s="1458"/>
      <c r="K2" s="51"/>
      <c r="L2" s="51"/>
      <c r="M2" s="51"/>
    </row>
    <row r="3" spans="1:13" ht="18">
      <c r="A3" s="1458" t="s">
        <v>600</v>
      </c>
      <c r="B3" s="1458"/>
      <c r="C3" s="1458"/>
      <c r="D3" s="1458"/>
      <c r="E3" s="1458"/>
      <c r="F3" s="1458"/>
      <c r="G3" s="1458"/>
      <c r="H3" s="1458"/>
      <c r="I3" s="1458"/>
      <c r="J3" s="1458"/>
      <c r="K3" s="77"/>
      <c r="L3" s="77"/>
      <c r="M3" s="77"/>
    </row>
    <row r="4" spans="1:13" ht="18">
      <c r="A4" s="1450" t="str">
        <f>+TCOS!F7</f>
        <v>AEP WEST VIRGINIA TRANSMISSION COMPANY</v>
      </c>
      <c r="B4" s="1450"/>
      <c r="C4" s="1450"/>
      <c r="D4" s="1450"/>
      <c r="E4" s="1450"/>
      <c r="F4" s="1450"/>
      <c r="G4" s="1450"/>
      <c r="H4" s="1450"/>
      <c r="I4" s="1450"/>
      <c r="J4" s="1450"/>
      <c r="K4" s="80"/>
      <c r="L4" s="80"/>
      <c r="M4" s="80"/>
    </row>
    <row r="5" ht="12.75">
      <c r="H5" s="81"/>
    </row>
    <row r="6" ht="15.75">
      <c r="D6" s="147" t="s">
        <v>566</v>
      </c>
    </row>
    <row r="7" ht="12.75">
      <c r="H7" s="55"/>
    </row>
    <row r="11" ht="12.75">
      <c r="H11" s="82"/>
    </row>
    <row r="12" ht="12.75">
      <c r="H12" s="100"/>
    </row>
    <row r="13" ht="12.75">
      <c r="H13" s="100"/>
    </row>
    <row r="22" spans="2:7" ht="12.75">
      <c r="B22" s="84"/>
      <c r="G22" s="85"/>
    </row>
    <row r="23" ht="12.75">
      <c r="G23" s="85"/>
    </row>
    <row r="24" spans="2:7" ht="12.75">
      <c r="B24" s="101"/>
      <c r="G24" s="102"/>
    </row>
    <row r="25" ht="12.75">
      <c r="G25" s="85"/>
    </row>
    <row r="26" ht="12.75">
      <c r="G26" s="86"/>
    </row>
  </sheetData>
  <sheetProtection/>
  <mergeCells count="4">
    <mergeCell ref="A2:J2"/>
    <mergeCell ref="A1:J1"/>
    <mergeCell ref="A4:J4"/>
    <mergeCell ref="A3:J3"/>
  </mergeCells>
  <printOptions/>
  <pageMargins left="0.26" right="1.28" top="1" bottom="1" header="0.75" footer="0.5"/>
  <pageSetup fitToHeight="1" fitToWidth="1" horizontalDpi="600" verticalDpi="600" orientation="portrait" scale="70"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Q168"/>
  <sheetViews>
    <sheetView view="pageBreakPreview" zoomScale="60" workbookViewId="0" topLeftCell="A1">
      <selection activeCell="A2" sqref="A1:IV2"/>
    </sheetView>
  </sheetViews>
  <sheetFormatPr defaultColWidth="8.8515625" defaultRowHeight="12.75"/>
  <cols>
    <col min="1" max="1" width="4.7109375" style="169" customWidth="1"/>
    <col min="2" max="2" width="6.7109375" style="387" customWidth="1"/>
    <col min="3" max="3" width="26.421875" style="169" customWidth="1"/>
    <col min="4" max="4" width="17.7109375" style="268" customWidth="1"/>
    <col min="5" max="7" width="17.7109375" style="169" customWidth="1"/>
    <col min="8" max="8" width="17.7109375" style="481" customWidth="1"/>
    <col min="9" max="9" width="17.7109375" style="169" bestFit="1" customWidth="1"/>
    <col min="10" max="10" width="2.140625" style="153" customWidth="1"/>
    <col min="11" max="12" width="17.7109375" style="169" customWidth="1"/>
    <col min="13" max="13" width="32.421875" style="169" customWidth="1"/>
    <col min="14" max="14" width="17.7109375" style="169" customWidth="1"/>
    <col min="15" max="15" width="16.7109375" style="169" customWidth="1"/>
    <col min="16" max="16" width="2.140625" style="169" customWidth="1"/>
    <col min="17" max="16384" width="8.8515625" style="169" customWidth="1"/>
  </cols>
  <sheetData>
    <row r="1" spans="1:16" ht="15">
      <c r="A1" s="1421" t="str">
        <f>TCOS!$F$3</f>
        <v>AEPTCo subsidiaries in PJM</v>
      </c>
      <c r="B1" s="1421" t="str">
        <f>TCOS!$F$3</f>
        <v>AEPTCo subsidiaries in PJM</v>
      </c>
      <c r="C1" s="1421" t="str">
        <f>TCOS!$F$3</f>
        <v>AEPTCo subsidiaries in PJM</v>
      </c>
      <c r="D1" s="1421" t="str">
        <f>TCOS!$F$3</f>
        <v>AEPTCo subsidiaries in PJM</v>
      </c>
      <c r="E1" s="1421" t="str">
        <f>TCOS!$F$3</f>
        <v>AEPTCo subsidiaries in PJM</v>
      </c>
      <c r="F1" s="1421" t="str">
        <f>TCOS!$F$3</f>
        <v>AEPTCo subsidiaries in PJM</v>
      </c>
      <c r="G1" s="1421" t="str">
        <f>TCOS!$F$3</f>
        <v>AEPTCo subsidiaries in PJM</v>
      </c>
      <c r="H1" s="1421" t="str">
        <f>TCOS!$F$3</f>
        <v>AEPTCo subsidiaries in PJM</v>
      </c>
      <c r="I1" s="1421" t="str">
        <f>TCOS!$F$3</f>
        <v>AEPTCo subsidiaries in PJM</v>
      </c>
      <c r="J1" s="1421" t="str">
        <f>TCOS!$F$3</f>
        <v>AEPTCo subsidiaries in PJM</v>
      </c>
      <c r="K1" s="1421" t="str">
        <f>TCOS!$F$3</f>
        <v>AEPTCo subsidiaries in PJM</v>
      </c>
      <c r="L1" s="1421" t="str">
        <f>TCOS!$F$3</f>
        <v>AEPTCo subsidiaries in PJM</v>
      </c>
      <c r="M1" s="1421" t="str">
        <f>TCOS!$F$3</f>
        <v>AEPTCo subsidiaries in PJM</v>
      </c>
      <c r="N1" s="1421" t="str">
        <f>TCOS!$F$3</f>
        <v>AEPTCo subsidiaries in PJM</v>
      </c>
      <c r="O1" s="1421" t="str">
        <f>TCOS!$F$3</f>
        <v>AEPTCo subsidiaries in PJM</v>
      </c>
      <c r="P1" s="153"/>
    </row>
    <row r="2" spans="1:16" ht="15">
      <c r="A2" s="1442" t="str">
        <f>"Cost of Service Formula Rate Using Actual/Projected FF1 Balances"</f>
        <v>Cost of Service Formula Rate Using Actual/Projected FF1 Balances</v>
      </c>
      <c r="B2" s="1442"/>
      <c r="C2" s="1442"/>
      <c r="D2" s="1442"/>
      <c r="E2" s="1442"/>
      <c r="F2" s="1442"/>
      <c r="G2" s="1442"/>
      <c r="H2" s="1442"/>
      <c r="I2" s="1442"/>
      <c r="J2" s="1442"/>
      <c r="K2" s="1442"/>
      <c r="L2" s="1442"/>
      <c r="M2" s="1442"/>
      <c r="N2" s="1442"/>
      <c r="O2" s="1442"/>
      <c r="P2" s="153"/>
    </row>
    <row r="3" spans="1:16" ht="15">
      <c r="A3" s="1442" t="s">
        <v>265</v>
      </c>
      <c r="B3" s="1442"/>
      <c r="C3" s="1442"/>
      <c r="D3" s="1442"/>
      <c r="E3" s="1442"/>
      <c r="F3" s="1442"/>
      <c r="G3" s="1442"/>
      <c r="H3" s="1442"/>
      <c r="I3" s="1442"/>
      <c r="J3" s="1442"/>
      <c r="K3" s="1442"/>
      <c r="L3" s="1442"/>
      <c r="M3" s="1442"/>
      <c r="N3" s="1442"/>
      <c r="O3" s="1442"/>
      <c r="P3" s="153"/>
    </row>
    <row r="4" spans="1:16" ht="15">
      <c r="A4" s="1443" t="str">
        <f>TCOS!F7</f>
        <v>AEP WEST VIRGINIA TRANSMISSION COMPANY</v>
      </c>
      <c r="B4" s="1443"/>
      <c r="C4" s="1443"/>
      <c r="D4" s="1443"/>
      <c r="E4" s="1443"/>
      <c r="F4" s="1443"/>
      <c r="G4" s="1443"/>
      <c r="H4" s="1443"/>
      <c r="I4" s="1443"/>
      <c r="J4" s="1443"/>
      <c r="K4" s="1443"/>
      <c r="L4" s="1443"/>
      <c r="M4" s="1443"/>
      <c r="N4" s="1443"/>
      <c r="O4" s="1443"/>
      <c r="P4" s="153"/>
    </row>
    <row r="5" ht="12.75">
      <c r="P5" s="153"/>
    </row>
    <row r="6" spans="1:16" ht="20.25">
      <c r="A6" s="645"/>
      <c r="C6" s="387"/>
      <c r="N6" s="646" t="str">
        <f>"Page "&amp;P6&amp;" of "</f>
        <v>Page 1 of </v>
      </c>
      <c r="O6" s="647">
        <f>COUNT(P$6:P$56651)</f>
        <v>2</v>
      </c>
      <c r="P6" s="648">
        <v>1</v>
      </c>
    </row>
    <row r="7" spans="3:16" ht="18">
      <c r="C7" s="649"/>
      <c r="P7" s="153"/>
    </row>
    <row r="8" ht="12.75">
      <c r="P8" s="153"/>
    </row>
    <row r="9" spans="2:16" ht="18">
      <c r="B9" s="650" t="s">
        <v>472</v>
      </c>
      <c r="C9" s="1463" t="str">
        <f>"Calculate Return and Income Taxes with "&amp;F15&amp;" basis point ROE increase for Projects Qualified for Regional Billing."</f>
        <v>Calculate Return and Income Taxes with 0 basis point ROE increase for Projects Qualified for Regional Billing.</v>
      </c>
      <c r="D9" s="1464"/>
      <c r="E9" s="1464"/>
      <c r="F9" s="1464"/>
      <c r="G9" s="1464"/>
      <c r="H9" s="1464"/>
      <c r="P9" s="153"/>
    </row>
    <row r="10" spans="3:16" ht="18.75" customHeight="1">
      <c r="C10" s="1464"/>
      <c r="D10" s="1464"/>
      <c r="E10" s="1464"/>
      <c r="F10" s="1464"/>
      <c r="G10" s="1464"/>
      <c r="H10" s="1464"/>
      <c r="P10" s="153"/>
    </row>
    <row r="11" spans="3:16" ht="15.75" customHeight="1">
      <c r="C11" s="651"/>
      <c r="D11" s="651"/>
      <c r="E11" s="651"/>
      <c r="F11" s="651"/>
      <c r="G11" s="651"/>
      <c r="H11" s="651"/>
      <c r="P11" s="153"/>
    </row>
    <row r="12" spans="3:16" ht="15.75">
      <c r="C12" s="652" t="str">
        <f>"A.   Determine 'R' with hypothetical "&amp;F15&amp;" basis point increase in ROE for Identified Projects"</f>
        <v>A.   Determine 'R' with hypothetical 0 basis point increase in ROE for Identified Projects</v>
      </c>
      <c r="P12" s="153"/>
    </row>
    <row r="13" ht="12.75">
      <c r="P13" s="153"/>
    </row>
    <row r="14" spans="3:16" ht="12.75">
      <c r="C14" s="653" t="str">
        <f>"   ROE w/o incentives  (TCOS, ln "&amp;TCOS!B233&amp;")"</f>
        <v>   ROE w/o incentives  (TCOS, ln 138)</v>
      </c>
      <c r="E14" s="654"/>
      <c r="F14" s="655">
        <f>TCOS!J233</f>
        <v>0.1149</v>
      </c>
      <c r="G14" s="654"/>
      <c r="H14" s="656"/>
      <c r="I14" s="656"/>
      <c r="J14" s="657"/>
      <c r="K14" s="656"/>
      <c r="L14" s="656"/>
      <c r="M14" s="656"/>
      <c r="N14" s="656"/>
      <c r="O14" s="656"/>
      <c r="P14" s="657"/>
    </row>
    <row r="15" spans="3:10" ht="12.75">
      <c r="C15" s="653" t="s">
        <v>51</v>
      </c>
      <c r="E15" s="654"/>
      <c r="F15" s="797">
        <v>0</v>
      </c>
      <c r="G15" s="658"/>
      <c r="H15" s="656"/>
      <c r="I15" s="656"/>
      <c r="J15" s="657"/>
    </row>
    <row r="16" spans="3:10" ht="12.75">
      <c r="C16" s="653" t="str">
        <f>"   ROE with additional "&amp;F15&amp;" basis point incentive"</f>
        <v>   ROE with additional 0 basis point incentive</v>
      </c>
      <c r="D16" s="654"/>
      <c r="E16" s="654"/>
      <c r="F16" s="659">
        <f>IF((F14+(F15/10000)&gt;0.1274),"ERROR",F14+(F15/10000))</f>
        <v>0.1149</v>
      </c>
      <c r="G16" s="660"/>
      <c r="H16" s="656"/>
      <c r="I16" s="656"/>
      <c r="J16" s="657"/>
    </row>
    <row r="17" spans="3:10" ht="12.75">
      <c r="C17" s="653" t="str">
        <f>"   Determine R  ( cost of long term debt, cost of preferred stock and equity percentage is from the TCOS, lns "&amp;TCOS!B231&amp;" through "&amp;TCOS!B233&amp;")"</f>
        <v>   Determine R  ( cost of long term debt, cost of preferred stock and equity percentage is from the TCOS, lns 136 through 138)</v>
      </c>
      <c r="E17" s="654"/>
      <c r="F17" s="661"/>
      <c r="G17" s="654"/>
      <c r="H17" s="656"/>
      <c r="I17" s="656"/>
      <c r="J17" s="657"/>
    </row>
    <row r="18" spans="3:10" ht="12.75">
      <c r="C18" s="657"/>
      <c r="D18" s="662" t="s">
        <v>447</v>
      </c>
      <c r="E18" s="662" t="s">
        <v>446</v>
      </c>
      <c r="F18" s="663" t="s">
        <v>52</v>
      </c>
      <c r="G18" s="654"/>
      <c r="H18" s="656"/>
      <c r="I18" s="656"/>
      <c r="J18" s="657"/>
    </row>
    <row r="19" spans="3:15" ht="13.5" thickBot="1">
      <c r="C19" s="664" t="s">
        <v>57</v>
      </c>
      <c r="D19" s="665">
        <f>TCOS!H231</f>
        <v>0.49563649294169265</v>
      </c>
      <c r="E19" s="666">
        <f>TCOS!J231</f>
        <v>0.03492202111613876</v>
      </c>
      <c r="F19" s="667">
        <f>E19*D19</f>
        <v>0.017308628072438752</v>
      </c>
      <c r="G19" s="654"/>
      <c r="H19" s="656"/>
      <c r="I19" s="668"/>
      <c r="J19" s="669"/>
      <c r="K19" s="433"/>
      <c r="L19" s="433"/>
      <c r="M19" s="433"/>
      <c r="N19" s="433"/>
      <c r="O19" s="433"/>
    </row>
    <row r="20" spans="3:16" ht="12.75">
      <c r="C20" s="664" t="s">
        <v>58</v>
      </c>
      <c r="D20" s="665">
        <f>TCOS!H232</f>
        <v>0</v>
      </c>
      <c r="E20" s="666">
        <f>TCOS!J232</f>
        <v>0</v>
      </c>
      <c r="F20" s="667">
        <f>E20*D20</f>
        <v>0</v>
      </c>
      <c r="G20" s="670"/>
      <c r="H20" s="670"/>
      <c r="I20" s="671"/>
      <c r="J20" s="672"/>
      <c r="K20" s="1466" t="s">
        <v>240</v>
      </c>
      <c r="L20" s="1467"/>
      <c r="M20" s="1467"/>
      <c r="N20" s="1467"/>
      <c r="O20" s="1468"/>
      <c r="P20" s="672"/>
    </row>
    <row r="21" spans="3:16" ht="12.75">
      <c r="C21" s="673" t="s">
        <v>30</v>
      </c>
      <c r="D21" s="665">
        <f>TCOS!H233</f>
        <v>0.5043635070583073</v>
      </c>
      <c r="E21" s="666">
        <f>+F16</f>
        <v>0.1149</v>
      </c>
      <c r="F21" s="674">
        <f>E21*D21</f>
        <v>0.05795136696099951</v>
      </c>
      <c r="G21" s="670"/>
      <c r="H21" s="670"/>
      <c r="I21" s="671"/>
      <c r="J21" s="672"/>
      <c r="K21" s="1469"/>
      <c r="L21" s="1470"/>
      <c r="M21" s="1470"/>
      <c r="N21" s="1470"/>
      <c r="O21" s="1471"/>
      <c r="P21" s="672"/>
    </row>
    <row r="22" spans="3:16" ht="12.75">
      <c r="C22" s="653"/>
      <c r="D22" s="169"/>
      <c r="E22" s="675" t="s">
        <v>59</v>
      </c>
      <c r="F22" s="667">
        <f>SUM(F19:F21)</f>
        <v>0.07525999503343826</v>
      </c>
      <c r="G22" s="670"/>
      <c r="H22" s="670"/>
      <c r="I22" s="671"/>
      <c r="J22" s="672"/>
      <c r="K22" s="676"/>
      <c r="L22" s="677"/>
      <c r="M22" s="678" t="s">
        <v>53</v>
      </c>
      <c r="N22" s="678" t="s">
        <v>54</v>
      </c>
      <c r="O22" s="679" t="s">
        <v>56</v>
      </c>
      <c r="P22" s="672"/>
    </row>
    <row r="23" spans="3:16" ht="12.75">
      <c r="C23" s="308"/>
      <c r="D23" s="680"/>
      <c r="E23" s="680"/>
      <c r="F23" s="670"/>
      <c r="G23" s="670"/>
      <c r="H23" s="670"/>
      <c r="I23" s="670"/>
      <c r="J23" s="681"/>
      <c r="K23" s="682"/>
      <c r="L23" s="683"/>
      <c r="M23" s="683"/>
      <c r="N23" s="683"/>
      <c r="O23" s="684"/>
      <c r="P23" s="681"/>
    </row>
    <row r="24" spans="3:16" ht="16.5" thickBot="1">
      <c r="C24" s="652" t="str">
        <f>"B.   Determine Return using 'R' with hypothetical "&amp;F15&amp;" basis point ROE increase for Identified Projects."</f>
        <v>B.   Determine Return using 'R' with hypothetical 0 basis point ROE increase for Identified Projects.</v>
      </c>
      <c r="D24" s="680"/>
      <c r="E24" s="680"/>
      <c r="F24" s="685"/>
      <c r="G24" s="670"/>
      <c r="H24" s="654"/>
      <c r="I24" s="670"/>
      <c r="J24" s="681"/>
      <c r="K24" s="686" t="s">
        <v>60</v>
      </c>
      <c r="L24" s="687">
        <f>+TCOS!L2</f>
        <v>2017</v>
      </c>
      <c r="M24" s="951" t="e">
        <f>N86+#REF!+#REF!+#REF!+#REF!+#REF!+#REF!+#REF!+#REF!+#REF!+#REF!</f>
        <v>#N/A</v>
      </c>
      <c r="N24" s="951" t="e">
        <f>N87+#REF!+#REF!+#REF!+#REF!+#REF!+#REF!+#REF!+#REF!+#REF!+#REF!</f>
        <v>#N/A</v>
      </c>
      <c r="O24" s="688" t="e">
        <f>+N24-M24</f>
        <v>#N/A</v>
      </c>
      <c r="P24" s="681"/>
    </row>
    <row r="25" spans="3:16" ht="12.75">
      <c r="C25" s="657"/>
      <c r="D25" s="680"/>
      <c r="E25" s="680"/>
      <c r="F25" s="681"/>
      <c r="G25" s="681"/>
      <c r="H25" s="681"/>
      <c r="I25" s="681"/>
      <c r="J25" s="681"/>
      <c r="K25" s="689"/>
      <c r="L25" s="689"/>
      <c r="M25" s="690"/>
      <c r="N25" s="689"/>
      <c r="O25" s="689"/>
      <c r="P25" s="681"/>
    </row>
    <row r="26" spans="3:16" ht="12.75">
      <c r="C26" s="653" t="str">
        <f>"   Rate Base  (TCOS, ln "&amp;TCOS!B110&amp;")"</f>
        <v>   Rate Base  (TCOS, ln 58)</v>
      </c>
      <c r="D26" s="654"/>
      <c r="F26" s="691">
        <f>TCOS!L110</f>
        <v>519295015.29499996</v>
      </c>
      <c r="G26" s="681"/>
      <c r="H26" s="681"/>
      <c r="I26" s="681"/>
      <c r="J26" s="681"/>
      <c r="K26" s="689"/>
      <c r="L26" s="689"/>
      <c r="M26" s="689"/>
      <c r="N26" s="689"/>
      <c r="O26" s="692"/>
      <c r="P26" s="681"/>
    </row>
    <row r="27" spans="3:16" ht="12.75">
      <c r="C27" s="657" t="s">
        <v>285</v>
      </c>
      <c r="D27" s="693"/>
      <c r="F27" s="667">
        <f>F22</f>
        <v>0.07525999503343826</v>
      </c>
      <c r="G27" s="681"/>
      <c r="H27" s="681"/>
      <c r="I27" s="681"/>
      <c r="J27" s="681"/>
      <c r="K27" s="681"/>
      <c r="L27" s="681"/>
      <c r="M27" s="681"/>
      <c r="N27" s="681"/>
      <c r="O27" s="681"/>
      <c r="P27" s="681"/>
    </row>
    <row r="28" spans="3:16" ht="12.75">
      <c r="C28" s="694" t="s">
        <v>62</v>
      </c>
      <c r="D28" s="694"/>
      <c r="F28" s="671">
        <f>F26*F27</f>
        <v>39082140.27199094</v>
      </c>
      <c r="G28" s="681"/>
      <c r="H28" s="681"/>
      <c r="I28" s="672"/>
      <c r="J28" s="672"/>
      <c r="K28" s="672"/>
      <c r="L28" s="672"/>
      <c r="M28" s="672"/>
      <c r="N28" s="672"/>
      <c r="O28" s="681"/>
      <c r="P28" s="672"/>
    </row>
    <row r="29" spans="3:16" ht="12.75">
      <c r="C29" s="695"/>
      <c r="D29" s="656"/>
      <c r="E29" s="656"/>
      <c r="F29" s="681"/>
      <c r="G29" s="681"/>
      <c r="H29" s="681"/>
      <c r="I29" s="672"/>
      <c r="J29" s="672"/>
      <c r="K29" s="672"/>
      <c r="L29" s="672"/>
      <c r="M29" s="672"/>
      <c r="N29" s="672"/>
      <c r="O29" s="681"/>
      <c r="P29" s="672"/>
    </row>
    <row r="30" spans="3:16" ht="15.75">
      <c r="C30" s="652" t="str">
        <f>"C.   Determine Income Taxes using Return with hypothetical "&amp;F15&amp;" basis point ROE increase for Identified Projects."</f>
        <v>C.   Determine Income Taxes using Return with hypothetical 0 basis point ROE increase for Identified Projects.</v>
      </c>
      <c r="D30" s="696"/>
      <c r="E30" s="696"/>
      <c r="F30" s="697"/>
      <c r="G30" s="697"/>
      <c r="H30" s="697"/>
      <c r="I30" s="698"/>
      <c r="J30" s="698"/>
      <c r="K30" s="698"/>
      <c r="L30" s="698"/>
      <c r="M30" s="698"/>
      <c r="N30" s="698"/>
      <c r="O30" s="697"/>
      <c r="P30" s="698"/>
    </row>
    <row r="31" spans="3:16" ht="12.75">
      <c r="C31" s="653"/>
      <c r="D31" s="656"/>
      <c r="E31" s="656"/>
      <c r="F31" s="681"/>
      <c r="G31" s="681"/>
      <c r="H31" s="681"/>
      <c r="I31" s="672"/>
      <c r="J31" s="672"/>
      <c r="K31" s="672"/>
      <c r="L31" s="672"/>
      <c r="M31" s="672"/>
      <c r="N31" s="672"/>
      <c r="O31" s="681"/>
      <c r="P31" s="672"/>
    </row>
    <row r="32" spans="3:16" ht="12.75">
      <c r="C32" s="657" t="s">
        <v>63</v>
      </c>
      <c r="D32" s="675"/>
      <c r="F32" s="699">
        <f>F28</f>
        <v>39082140.27199094</v>
      </c>
      <c r="G32" s="681"/>
      <c r="H32" s="681"/>
      <c r="I32" s="681"/>
      <c r="J32" s="681"/>
      <c r="K32" s="681"/>
      <c r="L32" s="681"/>
      <c r="M32" s="681"/>
      <c r="N32" s="681"/>
      <c r="O32" s="681"/>
      <c r="P32" s="681"/>
    </row>
    <row r="33" spans="3:16" ht="12.75">
      <c r="C33" s="653" t="str">
        <f>"   Effective Tax Rate  (TCOS, ln "&amp;TCOS!B168&amp;")"</f>
        <v>   Effective Tax Rate  (TCOS, ln 97)</v>
      </c>
      <c r="D33" s="532"/>
      <c r="F33" s="700">
        <f>TCOS!G168</f>
        <v>0.4969783661924917</v>
      </c>
      <c r="G33" s="308"/>
      <c r="H33" s="701"/>
      <c r="I33" s="308"/>
      <c r="J33" s="420"/>
      <c r="K33" s="308"/>
      <c r="L33" s="308"/>
      <c r="M33" s="308"/>
      <c r="N33" s="308"/>
      <c r="O33" s="308"/>
      <c r="P33" s="420"/>
    </row>
    <row r="34" spans="3:16" ht="12.75">
      <c r="C34" s="695" t="s">
        <v>64</v>
      </c>
      <c r="D34" s="532"/>
      <c r="F34" s="702">
        <f>F32*F33</f>
        <v>19422978.21967984</v>
      </c>
      <c r="G34" s="308"/>
      <c r="H34" s="701"/>
      <c r="I34" s="308"/>
      <c r="J34" s="420"/>
      <c r="K34" s="308"/>
      <c r="L34" s="308"/>
      <c r="M34" s="308"/>
      <c r="N34" s="308"/>
      <c r="O34" s="308"/>
      <c r="P34" s="420"/>
    </row>
    <row r="35" spans="3:16" ht="15">
      <c r="C35" s="653" t="s">
        <v>106</v>
      </c>
      <c r="D35" s="320"/>
      <c r="F35" s="703">
        <f>TCOS!L176</f>
        <v>0</v>
      </c>
      <c r="G35" s="320"/>
      <c r="H35" s="320"/>
      <c r="I35" s="320"/>
      <c r="J35" s="320"/>
      <c r="K35" s="320"/>
      <c r="L35" s="320"/>
      <c r="M35" s="320"/>
      <c r="N35" s="320"/>
      <c r="O35" s="227"/>
      <c r="P35" s="320"/>
    </row>
    <row r="36" spans="3:16" ht="15">
      <c r="C36" s="653" t="s">
        <v>562</v>
      </c>
      <c r="D36" s="320"/>
      <c r="F36" s="703">
        <f>TCOS!L177</f>
        <v>0</v>
      </c>
      <c r="G36" s="320"/>
      <c r="H36" s="320"/>
      <c r="I36" s="320"/>
      <c r="J36" s="320"/>
      <c r="K36" s="320"/>
      <c r="L36" s="320"/>
      <c r="M36" s="320"/>
      <c r="N36" s="320"/>
      <c r="O36" s="227"/>
      <c r="P36" s="320"/>
    </row>
    <row r="37" spans="3:16" ht="15.75" thickBot="1">
      <c r="C37" s="653" t="s">
        <v>564</v>
      </c>
      <c r="D37" s="320"/>
      <c r="F37" s="704">
        <f>TCOS!L178</f>
        <v>222295.3517071164</v>
      </c>
      <c r="G37" s="320"/>
      <c r="H37" s="320"/>
      <c r="I37" s="320"/>
      <c r="J37" s="320"/>
      <c r="K37" s="320"/>
      <c r="L37" s="320"/>
      <c r="M37" s="320"/>
      <c r="N37" s="320"/>
      <c r="O37" s="227"/>
      <c r="P37" s="320"/>
    </row>
    <row r="38" spans="3:16" ht="15">
      <c r="C38" s="695" t="s">
        <v>65</v>
      </c>
      <c r="D38" s="320"/>
      <c r="F38" s="703">
        <f>F34+F35+F36+F37</f>
        <v>19645273.571386956</v>
      </c>
      <c r="G38" s="953"/>
      <c r="H38" s="320"/>
      <c r="I38" s="320"/>
      <c r="J38" s="320"/>
      <c r="K38" s="320"/>
      <c r="L38" s="320"/>
      <c r="M38" s="320"/>
      <c r="N38" s="320"/>
      <c r="O38" s="185"/>
      <c r="P38" s="320"/>
    </row>
    <row r="39" spans="3:16" ht="12.75" customHeight="1">
      <c r="C39" s="236"/>
      <c r="D39" s="320"/>
      <c r="E39" s="320"/>
      <c r="F39" s="320"/>
      <c r="G39" s="320"/>
      <c r="H39" s="320"/>
      <c r="I39" s="320"/>
      <c r="J39" s="320"/>
      <c r="K39" s="320"/>
      <c r="L39" s="320"/>
      <c r="M39" s="320"/>
      <c r="N39" s="320"/>
      <c r="O39" s="185"/>
      <c r="P39" s="320"/>
    </row>
    <row r="40" spans="2:16" ht="18.75">
      <c r="B40" s="650" t="s">
        <v>473</v>
      </c>
      <c r="C40" s="649" t="str">
        <f>"Calculate Net Plant Carrying Charge Rate (Fixed Charge Rate or FCR) with hypothetical "&amp;F15&amp;""</f>
        <v>Calculate Net Plant Carrying Charge Rate (Fixed Charge Rate or FCR) with hypothetical 0</v>
      </c>
      <c r="D40" s="320"/>
      <c r="E40" s="320"/>
      <c r="F40" s="320"/>
      <c r="G40" s="320"/>
      <c r="H40" s="320"/>
      <c r="I40" s="320"/>
      <c r="J40" s="320"/>
      <c r="K40" s="320"/>
      <c r="L40" s="320"/>
      <c r="M40" s="320"/>
      <c r="N40" s="320"/>
      <c r="O40" s="185"/>
      <c r="P40" s="320"/>
    </row>
    <row r="41" spans="3:16" ht="18.75" customHeight="1">
      <c r="C41" s="649" t="str">
        <f>"basis point ROE increase."</f>
        <v>basis point ROE increase.</v>
      </c>
      <c r="D41" s="320"/>
      <c r="E41" s="320"/>
      <c r="F41" s="320"/>
      <c r="G41" s="320"/>
      <c r="H41" s="320"/>
      <c r="I41" s="320"/>
      <c r="J41" s="320"/>
      <c r="K41" s="320"/>
      <c r="L41" s="320"/>
      <c r="M41" s="320"/>
      <c r="N41" s="320"/>
      <c r="O41" s="185"/>
      <c r="P41" s="320"/>
    </row>
    <row r="42" spans="3:16" ht="12.75" customHeight="1">
      <c r="C42" s="649"/>
      <c r="D42" s="320"/>
      <c r="E42" s="320"/>
      <c r="F42" s="320"/>
      <c r="G42" s="320"/>
      <c r="H42" s="320"/>
      <c r="I42" s="320"/>
      <c r="J42" s="320"/>
      <c r="K42" s="320"/>
      <c r="L42" s="320"/>
      <c r="M42" s="320"/>
      <c r="N42" s="320"/>
      <c r="O42" s="185"/>
      <c r="P42" s="320"/>
    </row>
    <row r="43" spans="3:16" ht="15.75">
      <c r="C43" s="652" t="s">
        <v>262</v>
      </c>
      <c r="D43" s="320"/>
      <c r="E43" s="320"/>
      <c r="F43" s="319"/>
      <c r="G43" s="320"/>
      <c r="H43" s="320"/>
      <c r="I43" s="320"/>
      <c r="J43" s="320"/>
      <c r="K43" s="320"/>
      <c r="L43" s="320"/>
      <c r="M43" s="320"/>
      <c r="N43" s="320"/>
      <c r="O43" s="185"/>
      <c r="P43" s="320"/>
    </row>
    <row r="44" spans="2:16" ht="12.75">
      <c r="B44" s="341"/>
      <c r="C44" s="705"/>
      <c r="D44" s="706"/>
      <c r="E44" s="706"/>
      <c r="F44" s="706"/>
      <c r="G44" s="706"/>
      <c r="H44" s="706"/>
      <c r="I44" s="706"/>
      <c r="J44" s="706"/>
      <c r="K44" s="706"/>
      <c r="L44" s="706"/>
      <c r="M44" s="706"/>
      <c r="N44" s="706"/>
      <c r="O44" s="703"/>
      <c r="P44" s="706"/>
    </row>
    <row r="45" spans="2:16" ht="12.75" customHeight="1">
      <c r="B45" s="341"/>
      <c r="C45" s="653" t="str">
        <f>"   Annual Revenue Requirement  (TCOS, ln "&amp;TCOS!B11&amp;")"</f>
        <v>   Annual Revenue Requirement  (TCOS, ln 1)</v>
      </c>
      <c r="D45" s="706"/>
      <c r="E45" s="706"/>
      <c r="G45" s="703">
        <f>TCOS!L11</f>
        <v>83050622.25153789</v>
      </c>
      <c r="H45" s="954"/>
      <c r="I45" s="706"/>
      <c r="J45" s="706"/>
      <c r="K45" s="706"/>
      <c r="L45" s="706"/>
      <c r="M45" s="706"/>
      <c r="N45" s="706"/>
      <c r="O45" s="703"/>
      <c r="P45" s="706"/>
    </row>
    <row r="46" spans="2:16" ht="12.75" customHeight="1">
      <c r="B46" s="341"/>
      <c r="C46" s="705" t="str">
        <f>"   Lease Payments (TCOS, Ln "&amp;TCOS!B148&amp;")"</f>
        <v>   Lease Payments (TCOS, Ln 80)</v>
      </c>
      <c r="D46" s="706"/>
      <c r="E46" s="706"/>
      <c r="G46" s="703">
        <f>+TCOS!L148</f>
        <v>0</v>
      </c>
      <c r="H46" s="954"/>
      <c r="I46" s="706"/>
      <c r="J46" s="706"/>
      <c r="K46" s="706"/>
      <c r="L46" s="706"/>
      <c r="M46" s="706"/>
      <c r="N46" s="706"/>
      <c r="O46" s="703"/>
      <c r="P46" s="706"/>
    </row>
    <row r="47" spans="2:16" ht="12.75">
      <c r="B47" s="341"/>
      <c r="C47" s="653" t="str">
        <f>"   Return  (TCOS, ln "&amp;TCOS!B181&amp;")"</f>
        <v>   Return  (TCOS, ln 109)</v>
      </c>
      <c r="D47" s="706"/>
      <c r="E47" s="706"/>
      <c r="G47" s="707">
        <f>TCOS!L181</f>
        <v>39082140.27199094</v>
      </c>
      <c r="H47" s="955"/>
      <c r="I47" s="706"/>
      <c r="J47" s="708"/>
      <c r="K47" s="708"/>
      <c r="L47" s="708"/>
      <c r="M47" s="708"/>
      <c r="N47" s="708"/>
      <c r="O47" s="703"/>
      <c r="P47" s="708"/>
    </row>
    <row r="48" spans="2:16" ht="12.75">
      <c r="B48" s="341"/>
      <c r="C48" s="653" t="str">
        <f>"   Income Taxes  (TCOS, ln "&amp;TCOS!B179&amp;")"</f>
        <v>   Income Taxes  (TCOS, ln 108)</v>
      </c>
      <c r="D48" s="706"/>
      <c r="E48" s="706"/>
      <c r="G48" s="709">
        <f>F38</f>
        <v>19645273.571386956</v>
      </c>
      <c r="H48" s="954"/>
      <c r="I48" s="706"/>
      <c r="J48" s="710"/>
      <c r="K48" s="710"/>
      <c r="L48" s="710"/>
      <c r="M48" s="710"/>
      <c r="N48" s="710"/>
      <c r="O48" s="706"/>
      <c r="P48" s="710"/>
    </row>
    <row r="49" spans="2:16" ht="12.75">
      <c r="B49" s="341"/>
      <c r="C49" s="717" t="s">
        <v>621</v>
      </c>
      <c r="D49" s="706"/>
      <c r="E49" s="706"/>
      <c r="G49" s="707">
        <f>G45-G47-G48-G46</f>
        <v>24323208.408159994</v>
      </c>
      <c r="H49" s="707"/>
      <c r="I49" s="706"/>
      <c r="J49" s="711"/>
      <c r="K49" s="711"/>
      <c r="L49" s="711"/>
      <c r="M49" s="711"/>
      <c r="N49" s="711"/>
      <c r="O49" s="711"/>
      <c r="P49" s="711"/>
    </row>
    <row r="50" spans="2:16" ht="12.75">
      <c r="B50" s="341"/>
      <c r="C50" s="705"/>
      <c r="D50" s="706"/>
      <c r="E50" s="706"/>
      <c r="F50" s="703"/>
      <c r="G50" s="712"/>
      <c r="H50" s="713"/>
      <c r="I50" s="706"/>
      <c r="J50" s="713"/>
      <c r="K50" s="713"/>
      <c r="L50" s="713"/>
      <c r="M50" s="713"/>
      <c r="N50" s="713"/>
      <c r="O50" s="713"/>
      <c r="P50" s="713"/>
    </row>
    <row r="51" spans="2:16" ht="15.75">
      <c r="B51" s="341"/>
      <c r="C51" s="652" t="str">
        <f>"B.   Determine Annual Revenue Requirement with hypothetical "&amp;F15&amp;" basis point increase in ROE."</f>
        <v>B.   Determine Annual Revenue Requirement with hypothetical 0 basis point increase in ROE.</v>
      </c>
      <c r="D51" s="714"/>
      <c r="E51" s="714"/>
      <c r="F51" s="703"/>
      <c r="G51" s="712"/>
      <c r="H51" s="713"/>
      <c r="I51" s="713"/>
      <c r="J51" s="713"/>
      <c r="K51" s="713"/>
      <c r="L51" s="713"/>
      <c r="M51" s="713"/>
      <c r="N51" s="713"/>
      <c r="O51" s="713"/>
      <c r="P51" s="713"/>
    </row>
    <row r="52" spans="2:16" ht="12.75">
      <c r="B52" s="341"/>
      <c r="C52" s="705"/>
      <c r="D52" s="714"/>
      <c r="E52" s="714"/>
      <c r="F52" s="703"/>
      <c r="G52" s="712"/>
      <c r="H52" s="713"/>
      <c r="I52" s="713"/>
      <c r="J52" s="713"/>
      <c r="K52" s="713"/>
      <c r="L52" s="713"/>
      <c r="M52" s="713"/>
      <c r="N52" s="713"/>
      <c r="O52" s="713"/>
      <c r="P52" s="713"/>
    </row>
    <row r="53" spans="2:16" ht="12.75">
      <c r="B53" s="341"/>
      <c r="C53" s="705" t="str">
        <f>C49</f>
        <v>   Annual Revenue Requirement, Less Return and Taxes</v>
      </c>
      <c r="D53" s="714"/>
      <c r="E53" s="714"/>
      <c r="G53" s="703">
        <f>G49</f>
        <v>24323208.408159994</v>
      </c>
      <c r="H53" s="703"/>
      <c r="I53" s="706"/>
      <c r="J53" s="706"/>
      <c r="K53" s="706"/>
      <c r="L53" s="706"/>
      <c r="M53" s="706"/>
      <c r="N53" s="706"/>
      <c r="O53" s="715"/>
      <c r="P53" s="706"/>
    </row>
    <row r="54" spans="2:16" ht="12.75">
      <c r="B54" s="341"/>
      <c r="C54" s="657" t="s">
        <v>103</v>
      </c>
      <c r="D54" s="716"/>
      <c r="E54" s="717"/>
      <c r="G54" s="718">
        <f>F28</f>
        <v>39082140.27199094</v>
      </c>
      <c r="H54" s="956"/>
      <c r="I54" s="706"/>
      <c r="J54" s="717"/>
      <c r="K54" s="717"/>
      <c r="L54" s="717"/>
      <c r="M54" s="717"/>
      <c r="N54" s="717"/>
      <c r="O54" s="717"/>
      <c r="P54" s="717"/>
    </row>
    <row r="55" spans="2:16" ht="12.75" customHeight="1">
      <c r="B55" s="341"/>
      <c r="C55" s="653" t="s">
        <v>71</v>
      </c>
      <c r="D55" s="706"/>
      <c r="E55" s="706"/>
      <c r="G55" s="709">
        <f>F38</f>
        <v>19645273.571386956</v>
      </c>
      <c r="H55" s="954"/>
      <c r="I55" s="706"/>
      <c r="J55" s="420"/>
      <c r="K55" s="308"/>
      <c r="L55" s="308"/>
      <c r="M55" s="308"/>
      <c r="N55" s="308"/>
      <c r="O55" s="308"/>
      <c r="P55" s="420"/>
    </row>
    <row r="56" spans="2:16" ht="12.75">
      <c r="B56" s="341"/>
      <c r="C56" s="717" t="str">
        <f>"   Annual Revenue Requirement, with "&amp;F15&amp;" Basis Point ROE increase"</f>
        <v>   Annual Revenue Requirement, with 0 Basis Point ROE increase</v>
      </c>
      <c r="D56" s="532"/>
      <c r="E56" s="308"/>
      <c r="G56" s="702">
        <f>SUM(G53:G55)</f>
        <v>83050622.25153789</v>
      </c>
      <c r="H56" s="957"/>
      <c r="I56" s="706"/>
      <c r="J56" s="420"/>
      <c r="K56" s="308"/>
      <c r="L56" s="308"/>
      <c r="M56" s="308"/>
      <c r="N56" s="308"/>
      <c r="O56" s="308"/>
      <c r="P56" s="420"/>
    </row>
    <row r="57" spans="2:16" ht="12.75">
      <c r="B57" s="341"/>
      <c r="C57" s="653" t="str">
        <f>"   Depreciation &amp; Amortization (TCOS, ln "&amp;TCOS!B152&amp;")"</f>
        <v>   Depreciation &amp; Amortization (TCOS, ln 83)</v>
      </c>
      <c r="D57" s="532"/>
      <c r="E57" s="308"/>
      <c r="G57" s="719">
        <f>TCOS!L152</f>
        <v>10458519</v>
      </c>
      <c r="H57" s="957"/>
      <c r="I57" s="706"/>
      <c r="J57" s="420"/>
      <c r="K57" s="308"/>
      <c r="L57" s="308"/>
      <c r="M57" s="308"/>
      <c r="N57" s="308"/>
      <c r="O57" s="308"/>
      <c r="P57" s="420"/>
    </row>
    <row r="58" spans="2:16" ht="12.75">
      <c r="B58" s="341"/>
      <c r="C58" s="717" t="str">
        <f>"   Annual Rev. Req, w/"&amp;F15&amp;" Basis Point ROE increase, less Depreciation"</f>
        <v>   Annual Rev. Req, w/0 Basis Point ROE increase, less Depreciation</v>
      </c>
      <c r="D58" s="532"/>
      <c r="E58" s="308"/>
      <c r="G58" s="702">
        <f>G56-G57</f>
        <v>72592103.25153789</v>
      </c>
      <c r="H58" s="957"/>
      <c r="I58" s="706"/>
      <c r="J58" s="420"/>
      <c r="K58" s="308"/>
      <c r="L58" s="308"/>
      <c r="M58" s="308"/>
      <c r="N58" s="308"/>
      <c r="O58" s="308"/>
      <c r="P58" s="420"/>
    </row>
    <row r="59" spans="2:16" ht="12.75">
      <c r="B59" s="341"/>
      <c r="C59" s="308"/>
      <c r="D59" s="532"/>
      <c r="E59" s="308"/>
      <c r="F59" s="308"/>
      <c r="G59" s="308"/>
      <c r="H59" s="958"/>
      <c r="I59" s="706"/>
      <c r="J59" s="420"/>
      <c r="K59" s="308"/>
      <c r="L59" s="308"/>
      <c r="M59" s="308"/>
      <c r="N59" s="308"/>
      <c r="O59" s="308"/>
      <c r="P59" s="420"/>
    </row>
    <row r="60" spans="2:16" ht="15.75">
      <c r="B60" s="341"/>
      <c r="C60" s="652" t="str">
        <f>"C.   Determine FCR with hypothetical "&amp;F15&amp;" basis point ROE increase."</f>
        <v>C.   Determine FCR with hypothetical 0 basis point ROE increase.</v>
      </c>
      <c r="D60" s="532"/>
      <c r="E60" s="308"/>
      <c r="F60" s="308"/>
      <c r="G60" s="308"/>
      <c r="H60" s="958"/>
      <c r="I60" s="706"/>
      <c r="J60" s="420"/>
      <c r="K60" s="308"/>
      <c r="L60" s="308"/>
      <c r="M60" s="308"/>
      <c r="N60" s="308"/>
      <c r="O60" s="308"/>
      <c r="P60" s="420"/>
    </row>
    <row r="61" spans="2:16" ht="12.75">
      <c r="B61" s="341"/>
      <c r="C61" s="308"/>
      <c r="D61" s="532"/>
      <c r="E61" s="308"/>
      <c r="F61" s="308"/>
      <c r="G61" s="308"/>
      <c r="H61" s="958"/>
      <c r="I61" s="706"/>
      <c r="J61" s="420"/>
      <c r="K61" s="308"/>
      <c r="L61" s="308"/>
      <c r="M61" s="308"/>
      <c r="N61" s="308"/>
      <c r="O61" s="308"/>
      <c r="P61" s="420"/>
    </row>
    <row r="62" spans="2:16" ht="12.75">
      <c r="B62" s="341"/>
      <c r="C62" s="653" t="str">
        <f>"   Net Transmission Plant  (Projected TCOS, ln "&amp;TCOS!B77&amp;")"</f>
        <v>   Net Transmission Plant  (Projected TCOS, ln 33)</v>
      </c>
      <c r="D62" s="532"/>
      <c r="E62" s="308"/>
      <c r="G62" s="702">
        <f>TCOS!L77</f>
        <v>651791215.5</v>
      </c>
      <c r="H62" s="957"/>
      <c r="I62" s="706"/>
      <c r="J62" s="420"/>
      <c r="K62" s="308"/>
      <c r="L62" s="308"/>
      <c r="M62" s="308"/>
      <c r="N62" s="308"/>
      <c r="O62" s="308"/>
      <c r="P62" s="420"/>
    </row>
    <row r="63" spans="2:16" ht="12.75">
      <c r="B63" s="341"/>
      <c r="C63" s="717" t="str">
        <f>"   Annual Revenue Requirement, with "&amp;F15&amp;" Basis Point ROE increase"</f>
        <v>   Annual Revenue Requirement, with 0 Basis Point ROE increase</v>
      </c>
      <c r="D63" s="532"/>
      <c r="E63" s="308"/>
      <c r="G63" s="702">
        <f>G56</f>
        <v>83050622.25153789</v>
      </c>
      <c r="H63" s="957"/>
      <c r="I63" s="706"/>
      <c r="J63" s="420"/>
      <c r="K63" s="308"/>
      <c r="L63" s="308"/>
      <c r="M63" s="308"/>
      <c r="N63" s="308"/>
      <c r="O63" s="308"/>
      <c r="P63" s="420"/>
    </row>
    <row r="64" spans="2:16" ht="12.75">
      <c r="B64" s="341"/>
      <c r="C64" s="717" t="str">
        <f>"   FCR with "&amp;F15&amp;" Basis Point increase in ROE"</f>
        <v>   FCR with 0 Basis Point increase in ROE</v>
      </c>
      <c r="D64" s="532"/>
      <c r="E64" s="308"/>
      <c r="G64" s="700">
        <f>IF(G62=0,0,G63/G62)</f>
        <v>0.1274190573247115</v>
      </c>
      <c r="H64" s="959"/>
      <c r="I64" s="706"/>
      <c r="J64" s="420"/>
      <c r="K64" s="308"/>
      <c r="L64" s="308"/>
      <c r="M64" s="308"/>
      <c r="N64" s="308"/>
      <c r="O64" s="308"/>
      <c r="P64" s="420"/>
    </row>
    <row r="65" spans="2:16" ht="12.75">
      <c r="B65" s="341"/>
      <c r="C65" s="205"/>
      <c r="D65" s="532"/>
      <c r="E65" s="308"/>
      <c r="G65" s="341"/>
      <c r="H65" s="409"/>
      <c r="I65" s="706"/>
      <c r="J65" s="420"/>
      <c r="K65" s="308"/>
      <c r="L65" s="308"/>
      <c r="M65" s="308"/>
      <c r="N65" s="308"/>
      <c r="O65" s="308"/>
      <c r="P65" s="420"/>
    </row>
    <row r="66" spans="2:16" ht="12.75">
      <c r="B66" s="341"/>
      <c r="C66" s="717" t="str">
        <f>"   Annual Rev. Req, w / "&amp;F15&amp;" Basis Point ROE increase, less Dep."</f>
        <v>   Annual Rev. Req, w / 0 Basis Point ROE increase, less Dep.</v>
      </c>
      <c r="D66" s="532"/>
      <c r="E66" s="308"/>
      <c r="G66" s="702">
        <f>G58</f>
        <v>72592103.25153789</v>
      </c>
      <c r="H66" s="957"/>
      <c r="I66" s="706"/>
      <c r="J66" s="420"/>
      <c r="K66" s="308"/>
      <c r="L66" s="308"/>
      <c r="M66" s="308"/>
      <c r="N66" s="308"/>
      <c r="O66" s="308"/>
      <c r="P66" s="420"/>
    </row>
    <row r="67" spans="2:16" ht="12.75">
      <c r="B67" s="341"/>
      <c r="C67" s="717" t="str">
        <f>"   FCR with "&amp;F15&amp;" Basis Point ROE increase, less Depreciation"</f>
        <v>   FCR with 0 Basis Point ROE increase, less Depreciation</v>
      </c>
      <c r="D67" s="532"/>
      <c r="E67" s="308"/>
      <c r="G67" s="700">
        <f>IF(G62=0,0,G66/G62)</f>
        <v>0.11137324579597359</v>
      </c>
      <c r="H67" s="959"/>
      <c r="I67" s="720"/>
      <c r="J67" s="420"/>
      <c r="K67" s="308"/>
      <c r="L67" s="308"/>
      <c r="M67" s="308"/>
      <c r="N67" s="308"/>
      <c r="O67" s="308"/>
      <c r="P67" s="420"/>
    </row>
    <row r="68" spans="2:16" ht="12.75">
      <c r="B68" s="341"/>
      <c r="C68" s="653" t="str">
        <f>"   FCR less Depreciation  (TCOS, ln "&amp;TCOS!B29&amp;")"</f>
        <v>   FCR less Depreciation  (TCOS, ln 10)</v>
      </c>
      <c r="D68" s="532"/>
      <c r="E68" s="308"/>
      <c r="G68" s="721">
        <f>TCOS!L29</f>
        <v>0.11137324579597359</v>
      </c>
      <c r="H68" s="960"/>
      <c r="I68" s="720"/>
      <c r="J68" s="420"/>
      <c r="K68" s="308"/>
      <c r="L68" s="308"/>
      <c r="M68" s="308"/>
      <c r="N68" s="308"/>
      <c r="O68" s="308"/>
      <c r="P68" s="420"/>
    </row>
    <row r="69" spans="2:16" ht="12.75">
      <c r="B69" s="341"/>
      <c r="C69" s="717" t="str">
        <f>"   Incremental FCR with "&amp;F15&amp;" Basis Point ROE increase, less Depreciation"</f>
        <v>   Incremental FCR with 0 Basis Point ROE increase, less Depreciation</v>
      </c>
      <c r="D69" s="532"/>
      <c r="E69" s="308"/>
      <c r="G69" s="700">
        <f>G67-G68</f>
        <v>0</v>
      </c>
      <c r="H69" s="959"/>
      <c r="I69" s="706"/>
      <c r="J69" s="420"/>
      <c r="K69" s="308"/>
      <c r="L69" s="308"/>
      <c r="M69" s="308"/>
      <c r="N69" s="308"/>
      <c r="O69" s="308"/>
      <c r="P69" s="420"/>
    </row>
    <row r="70" spans="2:16" ht="12.75">
      <c r="B70" s="341"/>
      <c r="C70" s="717"/>
      <c r="D70" s="532"/>
      <c r="E70" s="308"/>
      <c r="F70" s="700"/>
      <c r="G70" s="308"/>
      <c r="H70" s="958"/>
      <c r="I70" s="308"/>
      <c r="J70" s="420"/>
      <c r="K70" s="308"/>
      <c r="L70" s="308"/>
      <c r="M70" s="308"/>
      <c r="N70" s="308"/>
      <c r="O70" s="308"/>
      <c r="P70" s="420"/>
    </row>
    <row r="71" spans="2:16" ht="18.75">
      <c r="B71" s="650" t="s">
        <v>474</v>
      </c>
      <c r="C71" s="649" t="s">
        <v>72</v>
      </c>
      <c r="D71" s="532"/>
      <c r="E71" s="308"/>
      <c r="F71" s="700"/>
      <c r="G71" s="308"/>
      <c r="H71" s="958"/>
      <c r="I71" s="308"/>
      <c r="J71" s="420"/>
      <c r="K71" s="308"/>
      <c r="L71" s="308"/>
      <c r="M71" s="308"/>
      <c r="N71" s="308"/>
      <c r="O71" s="308"/>
      <c r="P71" s="420"/>
    </row>
    <row r="72" spans="2:16" ht="12.75">
      <c r="B72" s="341"/>
      <c r="C72" s="717"/>
      <c r="D72" s="532"/>
      <c r="E72" s="308"/>
      <c r="F72" s="700"/>
      <c r="G72" s="308"/>
      <c r="H72" s="958"/>
      <c r="I72" s="308"/>
      <c r="J72" s="420"/>
      <c r="K72" s="308"/>
      <c r="L72" s="308"/>
      <c r="M72" s="308"/>
      <c r="N72" s="308"/>
      <c r="O72" s="308"/>
      <c r="P72" s="420"/>
    </row>
    <row r="73" spans="2:16" ht="12.75">
      <c r="B73" s="341"/>
      <c r="C73" s="717" t="str">
        <f>+"Average Transmission Plant Balance for "&amp;TCOS!L2&amp;" TCOS, ln "&amp;TCOS!B61</f>
        <v>Average Transmission Plant Balance for 2017 TCOS, ln 19</v>
      </c>
      <c r="D73" s="1243"/>
      <c r="E73" s="341"/>
      <c r="F73" s="341"/>
      <c r="G73" s="483">
        <f>TCOS!L61</f>
        <v>667559369.5</v>
      </c>
      <c r="I73" s="308"/>
      <c r="J73" s="420"/>
      <c r="K73" s="722"/>
      <c r="L73" s="308"/>
      <c r="M73" s="308"/>
      <c r="N73" s="308"/>
      <c r="O73" s="308"/>
      <c r="P73" s="420"/>
    </row>
    <row r="74" spans="2:16" ht="12.75">
      <c r="B74" s="341"/>
      <c r="C74" s="717" t="str">
        <f>"Annual Depreciation and Amortization Expense (TCOS, ln "&amp;TCOS!B152&amp;")"</f>
        <v>Annual Depreciation and Amortization Expense (TCOS, ln 83)</v>
      </c>
      <c r="D74" s="532"/>
      <c r="E74" s="308"/>
      <c r="G74" s="483">
        <f>TCOS!L152</f>
        <v>10458519</v>
      </c>
      <c r="H74" s="701"/>
      <c r="I74" s="308"/>
      <c r="J74" s="420"/>
      <c r="K74" s="308"/>
      <c r="L74" s="308"/>
      <c r="M74" s="308"/>
      <c r="N74" s="308"/>
      <c r="O74" s="308"/>
      <c r="P74" s="420"/>
    </row>
    <row r="75" spans="2:17" ht="12.75" customHeight="1">
      <c r="B75" s="341"/>
      <c r="C75" s="717" t="s">
        <v>73</v>
      </c>
      <c r="D75" s="532"/>
      <c r="E75" s="308"/>
      <c r="G75" s="895">
        <f>G74/G73</f>
        <v>0.015666799805137032</v>
      </c>
      <c r="H75" s="723"/>
      <c r="I75" s="1465" t="str">
        <f>"Note 1:  Until "&amp;A4&amp;" establishes Transmission plant in service the depreciation expense component of the carrying charge will be calculated as in the Operating Company formula approved in Docket No. ER08-1329.  The calculation for "&amp;A4&amp;" is shown on Worksheet P."</f>
        <v>Note 1:  Until AEP WEST VIRGINIA TRANSMISSION COMPANY establishes Transmission plant in service the depreciation expense component of the carrying charge will be calculated as in the Operating Company formula approved in Docket No. ER08-1329.  The calculation for AEP WEST VIRGINIA TRANSMISSION COMPANY is shown on Worksheet P.</v>
      </c>
      <c r="J75" s="1465"/>
      <c r="K75" s="1465"/>
      <c r="L75" s="1465"/>
      <c r="M75" s="1465"/>
      <c r="N75" s="1465"/>
      <c r="O75" s="1465"/>
      <c r="P75" s="651"/>
      <c r="Q75" s="651"/>
    </row>
    <row r="76" spans="2:17" ht="12.75">
      <c r="B76" s="341"/>
      <c r="C76" s="717" t="s">
        <v>74</v>
      </c>
      <c r="D76" s="532"/>
      <c r="E76" s="308"/>
      <c r="G76" s="724">
        <f>IF(G75=0,0,1/G75)</f>
        <v>63.829244800339325</v>
      </c>
      <c r="H76" s="701"/>
      <c r="I76" s="1465"/>
      <c r="J76" s="1465"/>
      <c r="K76" s="1465"/>
      <c r="L76" s="1465"/>
      <c r="M76" s="1465"/>
      <c r="N76" s="1465"/>
      <c r="O76" s="1465"/>
      <c r="P76" s="651"/>
      <c r="Q76" s="651"/>
    </row>
    <row r="77" spans="2:17" ht="12.75">
      <c r="B77" s="341"/>
      <c r="C77" s="717" t="s">
        <v>601</v>
      </c>
      <c r="D77" s="532"/>
      <c r="E77" s="308"/>
      <c r="G77" s="725">
        <f>ROUND(G76,0)</f>
        <v>64</v>
      </c>
      <c r="H77" s="701"/>
      <c r="I77" s="1465"/>
      <c r="J77" s="1465"/>
      <c r="K77" s="1465"/>
      <c r="L77" s="1465"/>
      <c r="M77" s="1465"/>
      <c r="N77" s="1465"/>
      <c r="O77" s="1465"/>
      <c r="P77" s="651"/>
      <c r="Q77" s="651"/>
    </row>
    <row r="78" spans="2:15" ht="12.75">
      <c r="B78" s="341"/>
      <c r="C78" s="717"/>
      <c r="D78" s="532"/>
      <c r="E78" s="308"/>
      <c r="G78" s="726"/>
      <c r="H78" s="701"/>
      <c r="I78" s="1465"/>
      <c r="J78" s="1465"/>
      <c r="K78" s="1465"/>
      <c r="L78" s="1465"/>
      <c r="M78" s="1465"/>
      <c r="N78" s="1465"/>
      <c r="O78" s="1465"/>
    </row>
    <row r="79" spans="3:8" ht="12.75">
      <c r="C79" s="727"/>
      <c r="D79" s="728"/>
      <c r="E79" s="728"/>
      <c r="F79" s="728"/>
      <c r="G79" s="722"/>
      <c r="H79" s="722"/>
    </row>
    <row r="80" spans="1:16" ht="20.25">
      <c r="A80" s="729" t="str">
        <f>""&amp;A4&amp;" Worksheet J -  ATRR PROJECTED Calculation for PJM Projects Charged to Benefiting Zones"</f>
        <v>AEP WEST VIRGINIA TRANSMISSION COMPANY Worksheet J -  ATRR PROJECTED Calculation for PJM Projects Charged to Benefiting Zones</v>
      </c>
      <c r="B80" s="341"/>
      <c r="C80" s="717"/>
      <c r="D80" s="532"/>
      <c r="E80" s="308"/>
      <c r="F80" s="700"/>
      <c r="G80" s="308"/>
      <c r="H80" s="701"/>
      <c r="K80" s="557"/>
      <c r="L80" s="557"/>
      <c r="M80" s="557"/>
      <c r="N80" s="646" t="str">
        <f>"Page "&amp;SUM(P$6:P80)&amp;" of "</f>
        <v>Page 2 of </v>
      </c>
      <c r="O80" s="647">
        <f>COUNT(P$6:P$56651)</f>
        <v>2</v>
      </c>
      <c r="P80" s="730">
        <v>1</v>
      </c>
    </row>
    <row r="81" spans="2:16" ht="12.75">
      <c r="B81" s="341"/>
      <c r="C81" s="308"/>
      <c r="D81" s="532"/>
      <c r="E81" s="308"/>
      <c r="F81" s="308"/>
      <c r="G81" s="308"/>
      <c r="H81" s="701"/>
      <c r="I81" s="308"/>
      <c r="J81" s="420"/>
      <c r="K81" s="308"/>
      <c r="L81" s="308"/>
      <c r="M81" s="308"/>
      <c r="N81" s="308"/>
      <c r="O81" s="308"/>
      <c r="P81" s="420"/>
    </row>
    <row r="82" spans="2:15" ht="18">
      <c r="B82" s="650" t="s">
        <v>475</v>
      </c>
      <c r="C82" s="731" t="s">
        <v>94</v>
      </c>
      <c r="D82" s="532"/>
      <c r="E82" s="308"/>
      <c r="F82" s="308"/>
      <c r="G82" s="308"/>
      <c r="H82" s="701"/>
      <c r="I82" s="701"/>
      <c r="J82" s="722"/>
      <c r="K82" s="701"/>
      <c r="L82" s="701"/>
      <c r="M82" s="701"/>
      <c r="N82" s="701"/>
      <c r="O82" s="308"/>
    </row>
    <row r="83" spans="2:15" ht="18.75">
      <c r="B83" s="650"/>
      <c r="C83" s="649"/>
      <c r="D83" s="532"/>
      <c r="E83" s="308"/>
      <c r="F83" s="308"/>
      <c r="G83" s="308"/>
      <c r="H83" s="701"/>
      <c r="I83" s="701"/>
      <c r="J83" s="722"/>
      <c r="K83" s="701"/>
      <c r="L83" s="701"/>
      <c r="M83" s="701"/>
      <c r="N83" s="701"/>
      <c r="O83" s="308"/>
    </row>
    <row r="84" spans="2:15" ht="18.75">
      <c r="B84" s="650"/>
      <c r="C84" s="649" t="s">
        <v>95</v>
      </c>
      <c r="D84" s="532"/>
      <c r="E84" s="308"/>
      <c r="F84" s="308"/>
      <c r="G84" s="308"/>
      <c r="H84" s="701"/>
      <c r="I84" s="701"/>
      <c r="J84" s="722"/>
      <c r="K84" s="701"/>
      <c r="L84" s="701"/>
      <c r="M84" s="701"/>
      <c r="N84" s="701"/>
      <c r="O84" s="308"/>
    </row>
    <row r="85" spans="3:15" ht="15.75" thickBot="1">
      <c r="C85" s="236"/>
      <c r="D85" s="532"/>
      <c r="E85" s="308"/>
      <c r="F85" s="308"/>
      <c r="G85" s="308"/>
      <c r="H85" s="701"/>
      <c r="I85" s="701"/>
      <c r="J85" s="722"/>
      <c r="K85" s="701"/>
      <c r="L85" s="701"/>
      <c r="M85" s="701"/>
      <c r="N85" s="701"/>
      <c r="O85" s="308"/>
    </row>
    <row r="86" spans="3:15" ht="15.75">
      <c r="C86" s="652" t="s">
        <v>96</v>
      </c>
      <c r="D86" s="532"/>
      <c r="E86" s="308"/>
      <c r="F86" s="308"/>
      <c r="G86" s="798"/>
      <c r="H86" s="308" t="s">
        <v>75</v>
      </c>
      <c r="I86" s="308"/>
      <c r="J86" s="420"/>
      <c r="K86" s="732" t="s">
        <v>100</v>
      </c>
      <c r="L86" s="733"/>
      <c r="M86" s="734"/>
      <c r="N86" s="735" t="e">
        <f>IF(I92=0,0,VLOOKUP(I92,C99:O158,5))</f>
        <v>#N/A</v>
      </c>
      <c r="O86" s="308"/>
    </row>
    <row r="87" spans="3:15" ht="15.75">
      <c r="C87" s="652"/>
      <c r="D87" s="532"/>
      <c r="E87" s="308"/>
      <c r="F87" s="308"/>
      <c r="G87" s="308"/>
      <c r="H87" s="736"/>
      <c r="I87" s="736"/>
      <c r="J87" s="737"/>
      <c r="K87" s="738" t="s">
        <v>101</v>
      </c>
      <c r="L87" s="739"/>
      <c r="M87" s="420"/>
      <c r="N87" s="740" t="e">
        <f>IF(I92=0,0,VLOOKUP(I92,C99:O158,6))</f>
        <v>#N/A</v>
      </c>
      <c r="O87" s="308"/>
    </row>
    <row r="88" spans="3:15" ht="13.5" thickBot="1">
      <c r="C88" s="741" t="s">
        <v>97</v>
      </c>
      <c r="D88" s="1460"/>
      <c r="E88" s="1460"/>
      <c r="F88" s="1460"/>
      <c r="G88" s="1460"/>
      <c r="H88" s="1460"/>
      <c r="I88" s="1460"/>
      <c r="J88" s="722"/>
      <c r="K88" s="742" t="s">
        <v>239</v>
      </c>
      <c r="L88" s="743"/>
      <c r="M88" s="743"/>
      <c r="N88" s="744" t="e">
        <f>+N87-N86</f>
        <v>#N/A</v>
      </c>
      <c r="O88" s="308"/>
    </row>
    <row r="89" spans="3:15" ht="12.75">
      <c r="C89" s="745"/>
      <c r="D89" s="746"/>
      <c r="E89" s="726"/>
      <c r="F89" s="726"/>
      <c r="G89" s="747"/>
      <c r="H89" s="701"/>
      <c r="I89" s="701"/>
      <c r="J89" s="722"/>
      <c r="K89" s="701"/>
      <c r="L89" s="701"/>
      <c r="M89" s="701"/>
      <c r="N89" s="701"/>
      <c r="O89" s="308"/>
    </row>
    <row r="90" spans="3:15" ht="13.5" thickBot="1">
      <c r="C90" s="748"/>
      <c r="D90" s="749"/>
      <c r="E90" s="747"/>
      <c r="F90" s="747"/>
      <c r="G90" s="747"/>
      <c r="H90" s="747"/>
      <c r="I90" s="747"/>
      <c r="J90" s="750"/>
      <c r="K90" s="747"/>
      <c r="L90" s="747"/>
      <c r="M90" s="747"/>
      <c r="N90" s="747"/>
      <c r="O90" s="341"/>
    </row>
    <row r="91" spans="3:15" ht="13.5" thickBot="1">
      <c r="C91" s="751" t="s">
        <v>98</v>
      </c>
      <c r="D91" s="752"/>
      <c r="E91" s="752"/>
      <c r="F91" s="752"/>
      <c r="G91" s="752"/>
      <c r="H91" s="752"/>
      <c r="I91" s="753"/>
      <c r="J91" s="754"/>
      <c r="K91" s="308"/>
      <c r="L91" s="308"/>
      <c r="M91" s="308"/>
      <c r="N91" s="308"/>
      <c r="O91" s="755"/>
    </row>
    <row r="92" spans="3:15" ht="15">
      <c r="C92" s="756" t="s">
        <v>76</v>
      </c>
      <c r="D92" s="800"/>
      <c r="E92" s="717" t="s">
        <v>77</v>
      </c>
      <c r="G92" s="757"/>
      <c r="H92" s="757"/>
      <c r="I92" s="758">
        <v>2017</v>
      </c>
      <c r="J92" s="548"/>
      <c r="K92" s="1462" t="s">
        <v>248</v>
      </c>
      <c r="L92" s="1462"/>
      <c r="M92" s="1462"/>
      <c r="N92" s="1462"/>
      <c r="O92" s="1462"/>
    </row>
    <row r="93" spans="3:11" ht="12.75">
      <c r="C93" s="756" t="s">
        <v>79</v>
      </c>
      <c r="D93" s="801"/>
      <c r="E93" s="756" t="s">
        <v>80</v>
      </c>
      <c r="F93" s="757"/>
      <c r="H93" s="169"/>
      <c r="I93" s="802">
        <f>IF(G86="",0,$F$15)</f>
        <v>0</v>
      </c>
      <c r="J93" s="759"/>
      <c r="K93" s="722" t="s">
        <v>248</v>
      </c>
    </row>
    <row r="94" spans="3:11" ht="12.75">
      <c r="C94" s="756" t="s">
        <v>81</v>
      </c>
      <c r="D94" s="800"/>
      <c r="E94" s="756" t="s">
        <v>82</v>
      </c>
      <c r="F94" s="757"/>
      <c r="H94" s="169"/>
      <c r="I94" s="760">
        <f>$G$68</f>
        <v>0.11137324579597359</v>
      </c>
      <c r="J94" s="761"/>
      <c r="K94" s="169" t="str">
        <f>"          INPUT PROJECTED ARR (WITH &amp; WITHOUT INCENTIVES) FROM EACH PRIOR YEAR"</f>
        <v>          INPUT PROJECTED ARR (WITH &amp; WITHOUT INCENTIVES) FROM EACH PRIOR YEAR</v>
      </c>
    </row>
    <row r="95" spans="3:11" ht="12.75">
      <c r="C95" s="756" t="s">
        <v>83</v>
      </c>
      <c r="D95" s="762">
        <f>$G$77</f>
        <v>64</v>
      </c>
      <c r="E95" s="756" t="s">
        <v>84</v>
      </c>
      <c r="F95" s="757"/>
      <c r="H95" s="169"/>
      <c r="I95" s="760">
        <f>IF(G86="",I94,$G$67)</f>
        <v>0.11137324579597359</v>
      </c>
      <c r="J95" s="763"/>
      <c r="K95" s="169" t="s">
        <v>161</v>
      </c>
    </row>
    <row r="96" spans="3:15" ht="13.5" thickBot="1">
      <c r="C96" s="756" t="s">
        <v>85</v>
      </c>
      <c r="D96" s="799"/>
      <c r="E96" s="764" t="s">
        <v>86</v>
      </c>
      <c r="F96" s="765"/>
      <c r="G96" s="766"/>
      <c r="H96" s="766"/>
      <c r="I96" s="744">
        <f>IF(D92=0,0,D92/D95)</f>
        <v>0</v>
      </c>
      <c r="J96" s="722"/>
      <c r="K96" s="722" t="s">
        <v>167</v>
      </c>
      <c r="L96" s="722"/>
      <c r="M96" s="722"/>
      <c r="N96" s="722"/>
      <c r="O96" s="420"/>
    </row>
    <row r="97" spans="2:15" ht="51">
      <c r="B97" s="837"/>
      <c r="C97" s="767" t="s">
        <v>76</v>
      </c>
      <c r="D97" s="768" t="s">
        <v>87</v>
      </c>
      <c r="E97" s="769" t="s">
        <v>88</v>
      </c>
      <c r="F97" s="768" t="s">
        <v>89</v>
      </c>
      <c r="G97" s="769" t="s">
        <v>160</v>
      </c>
      <c r="H97" s="770" t="s">
        <v>160</v>
      </c>
      <c r="I97" s="767" t="s">
        <v>99</v>
      </c>
      <c r="J97" s="771"/>
      <c r="K97" s="769" t="s">
        <v>169</v>
      </c>
      <c r="L97" s="772"/>
      <c r="M97" s="769" t="s">
        <v>169</v>
      </c>
      <c r="N97" s="772"/>
      <c r="O97" s="772"/>
    </row>
    <row r="98" spans="3:15" ht="13.5" thickBot="1">
      <c r="C98" s="773" t="s">
        <v>478</v>
      </c>
      <c r="D98" s="774" t="s">
        <v>479</v>
      </c>
      <c r="E98" s="773" t="s">
        <v>372</v>
      </c>
      <c r="F98" s="774" t="s">
        <v>479</v>
      </c>
      <c r="G98" s="775" t="s">
        <v>102</v>
      </c>
      <c r="H98" s="776" t="s">
        <v>104</v>
      </c>
      <c r="I98" s="777" t="s">
        <v>16</v>
      </c>
      <c r="J98" s="778"/>
      <c r="K98" s="775" t="s">
        <v>91</v>
      </c>
      <c r="L98" s="779"/>
      <c r="M98" s="775" t="s">
        <v>104</v>
      </c>
      <c r="N98" s="779"/>
      <c r="O98" s="779"/>
    </row>
    <row r="99" spans="3:15" ht="12.75">
      <c r="C99" s="780" t="str">
        <f>IF(D93="","-",D93)</f>
        <v>-</v>
      </c>
      <c r="D99" s="728">
        <f>+D92</f>
        <v>0</v>
      </c>
      <c r="E99" s="781">
        <f>+I96/12*(12-D94)</f>
        <v>0</v>
      </c>
      <c r="F99" s="728">
        <f>+D99-E99</f>
        <v>0</v>
      </c>
      <c r="G99" s="989">
        <f>+$I$94*((D99+F99)/2)+E99</f>
        <v>0</v>
      </c>
      <c r="H99" s="990">
        <f>$I$95*((D99+F99)/2)+E99</f>
        <v>0</v>
      </c>
      <c r="I99" s="784">
        <f>+H99-G99</f>
        <v>0</v>
      </c>
      <c r="J99" s="784"/>
      <c r="K99" s="803"/>
      <c r="L99" s="785"/>
      <c r="M99" s="803"/>
      <c r="N99" s="785"/>
      <c r="O99" s="785"/>
    </row>
    <row r="100" spans="3:15" ht="12.75">
      <c r="C100" s="780" t="str">
        <f>IF(D93="","-",+C99+1)</f>
        <v>-</v>
      </c>
      <c r="D100" s="728">
        <f aca="true" t="shared" si="0" ref="D100:D158">F99</f>
        <v>0</v>
      </c>
      <c r="E100" s="781">
        <f>IF(D100&gt;$I$96,$I$96,D100)</f>
        <v>0</v>
      </c>
      <c r="F100" s="728">
        <f aca="true" t="shared" si="1" ref="F100:F158">+D100-E100</f>
        <v>0</v>
      </c>
      <c r="G100" s="786">
        <f aca="true" t="shared" si="2" ref="G100:G158">+$I$94*((D100+F100)/2)+E100</f>
        <v>0</v>
      </c>
      <c r="H100" s="787">
        <f aca="true" t="shared" si="3" ref="H100:H158">$I$95*((D100+F100)/2)+E100</f>
        <v>0</v>
      </c>
      <c r="I100" s="784">
        <f aca="true" t="shared" si="4" ref="I100:I158">+H100-G100</f>
        <v>0</v>
      </c>
      <c r="J100" s="784"/>
      <c r="K100" s="804"/>
      <c r="L100" s="788"/>
      <c r="M100" s="804"/>
      <c r="N100" s="788"/>
      <c r="O100" s="788"/>
    </row>
    <row r="101" spans="3:15" ht="12.75">
      <c r="C101" s="780" t="str">
        <f>IF(D93="","-",+C100+1)</f>
        <v>-</v>
      </c>
      <c r="D101" s="728">
        <f t="shared" si="0"/>
        <v>0</v>
      </c>
      <c r="E101" s="781">
        <f aca="true" t="shared" si="5" ref="E101:E158">IF(D101&gt;$I$96,$I$96,D101)</f>
        <v>0</v>
      </c>
      <c r="F101" s="728">
        <f t="shared" si="1"/>
        <v>0</v>
      </c>
      <c r="G101" s="786">
        <f t="shared" si="2"/>
        <v>0</v>
      </c>
      <c r="H101" s="787">
        <f t="shared" si="3"/>
        <v>0</v>
      </c>
      <c r="I101" s="784">
        <f t="shared" si="4"/>
        <v>0</v>
      </c>
      <c r="J101" s="784"/>
      <c r="K101" s="804"/>
      <c r="L101" s="788"/>
      <c r="M101" s="804"/>
      <c r="N101" s="788"/>
      <c r="O101" s="788"/>
    </row>
    <row r="102" spans="3:15" ht="12.75">
      <c r="C102" s="780" t="str">
        <f>IF(D93="","-",+C101+1)</f>
        <v>-</v>
      </c>
      <c r="D102" s="728">
        <f t="shared" si="0"/>
        <v>0</v>
      </c>
      <c r="E102" s="781">
        <f t="shared" si="5"/>
        <v>0</v>
      </c>
      <c r="F102" s="728">
        <f t="shared" si="1"/>
        <v>0</v>
      </c>
      <c r="G102" s="786">
        <f t="shared" si="2"/>
        <v>0</v>
      </c>
      <c r="H102" s="787">
        <f t="shared" si="3"/>
        <v>0</v>
      </c>
      <c r="I102" s="784">
        <f t="shared" si="4"/>
        <v>0</v>
      </c>
      <c r="J102" s="784"/>
      <c r="K102" s="804"/>
      <c r="L102" s="788"/>
      <c r="M102" s="804"/>
      <c r="N102" s="788"/>
      <c r="O102" s="788"/>
    </row>
    <row r="103" spans="3:15" ht="12.75">
      <c r="C103" s="780" t="str">
        <f>IF(D93="","-",+C102+1)</f>
        <v>-</v>
      </c>
      <c r="D103" s="728">
        <f t="shared" si="0"/>
        <v>0</v>
      </c>
      <c r="E103" s="781">
        <f t="shared" si="5"/>
        <v>0</v>
      </c>
      <c r="F103" s="728">
        <f t="shared" si="1"/>
        <v>0</v>
      </c>
      <c r="G103" s="786">
        <f t="shared" si="2"/>
        <v>0</v>
      </c>
      <c r="H103" s="787">
        <f t="shared" si="3"/>
        <v>0</v>
      </c>
      <c r="I103" s="784">
        <f t="shared" si="4"/>
        <v>0</v>
      </c>
      <c r="J103" s="784"/>
      <c r="K103" s="804"/>
      <c r="L103" s="788"/>
      <c r="M103" s="804"/>
      <c r="N103" s="788"/>
      <c r="O103" s="788"/>
    </row>
    <row r="104" spans="3:15" ht="12.75">
      <c r="C104" s="780" t="str">
        <f>IF(D93="","-",+C103+1)</f>
        <v>-</v>
      </c>
      <c r="D104" s="728">
        <f t="shared" si="0"/>
        <v>0</v>
      </c>
      <c r="E104" s="781">
        <f t="shared" si="5"/>
        <v>0</v>
      </c>
      <c r="F104" s="728">
        <f t="shared" si="1"/>
        <v>0</v>
      </c>
      <c r="G104" s="786">
        <f t="shared" si="2"/>
        <v>0</v>
      </c>
      <c r="H104" s="787">
        <f t="shared" si="3"/>
        <v>0</v>
      </c>
      <c r="I104" s="784">
        <f t="shared" si="4"/>
        <v>0</v>
      </c>
      <c r="J104" s="784"/>
      <c r="K104" s="804"/>
      <c r="L104" s="788"/>
      <c r="M104" s="804"/>
      <c r="N104" s="788"/>
      <c r="O104" s="788"/>
    </row>
    <row r="105" spans="3:15" ht="12.75">
      <c r="C105" s="780" t="str">
        <f>IF(D93="","-",+C104+1)</f>
        <v>-</v>
      </c>
      <c r="D105" s="728">
        <f t="shared" si="0"/>
        <v>0</v>
      </c>
      <c r="E105" s="781">
        <f t="shared" si="5"/>
        <v>0</v>
      </c>
      <c r="F105" s="728">
        <f t="shared" si="1"/>
        <v>0</v>
      </c>
      <c r="G105" s="786">
        <f t="shared" si="2"/>
        <v>0</v>
      </c>
      <c r="H105" s="787">
        <f t="shared" si="3"/>
        <v>0</v>
      </c>
      <c r="I105" s="784">
        <f t="shared" si="4"/>
        <v>0</v>
      </c>
      <c r="J105" s="784"/>
      <c r="K105" s="804"/>
      <c r="L105" s="788"/>
      <c r="M105" s="804"/>
      <c r="N105" s="788"/>
      <c r="O105" s="788"/>
    </row>
    <row r="106" spans="3:15" ht="12.75">
      <c r="C106" s="780" t="str">
        <f>IF(D93="","-",+C105+1)</f>
        <v>-</v>
      </c>
      <c r="D106" s="728">
        <f t="shared" si="0"/>
        <v>0</v>
      </c>
      <c r="E106" s="781">
        <f t="shared" si="5"/>
        <v>0</v>
      </c>
      <c r="F106" s="728">
        <f t="shared" si="1"/>
        <v>0</v>
      </c>
      <c r="G106" s="786">
        <f t="shared" si="2"/>
        <v>0</v>
      </c>
      <c r="H106" s="787">
        <f t="shared" si="3"/>
        <v>0</v>
      </c>
      <c r="I106" s="784">
        <f t="shared" si="4"/>
        <v>0</v>
      </c>
      <c r="J106" s="784"/>
      <c r="K106" s="804"/>
      <c r="L106" s="788"/>
      <c r="M106" s="804"/>
      <c r="N106" s="788"/>
      <c r="O106" s="788"/>
    </row>
    <row r="107" spans="3:15" ht="12.75">
      <c r="C107" s="780" t="str">
        <f>IF(D93="","-",+C106+1)</f>
        <v>-</v>
      </c>
      <c r="D107" s="728">
        <f t="shared" si="0"/>
        <v>0</v>
      </c>
      <c r="E107" s="781">
        <f t="shared" si="5"/>
        <v>0</v>
      </c>
      <c r="F107" s="728">
        <f t="shared" si="1"/>
        <v>0</v>
      </c>
      <c r="G107" s="786">
        <f t="shared" si="2"/>
        <v>0</v>
      </c>
      <c r="H107" s="787">
        <f t="shared" si="3"/>
        <v>0</v>
      </c>
      <c r="I107" s="784">
        <f t="shared" si="4"/>
        <v>0</v>
      </c>
      <c r="J107" s="784"/>
      <c r="K107" s="804"/>
      <c r="L107" s="788"/>
      <c r="M107" s="804"/>
      <c r="N107" s="788"/>
      <c r="O107" s="788"/>
    </row>
    <row r="108" spans="3:15" ht="12.75">
      <c r="C108" s="780" t="str">
        <f>IF(D93="","-",+C107+1)</f>
        <v>-</v>
      </c>
      <c r="D108" s="728">
        <f t="shared" si="0"/>
        <v>0</v>
      </c>
      <c r="E108" s="781">
        <f t="shared" si="5"/>
        <v>0</v>
      </c>
      <c r="F108" s="728">
        <f t="shared" si="1"/>
        <v>0</v>
      </c>
      <c r="G108" s="786">
        <f t="shared" si="2"/>
        <v>0</v>
      </c>
      <c r="H108" s="787">
        <f t="shared" si="3"/>
        <v>0</v>
      </c>
      <c r="I108" s="784">
        <f t="shared" si="4"/>
        <v>0</v>
      </c>
      <c r="J108" s="784"/>
      <c r="K108" s="804"/>
      <c r="L108" s="788"/>
      <c r="M108" s="804"/>
      <c r="N108" s="788"/>
      <c r="O108" s="788"/>
    </row>
    <row r="109" spans="3:15" ht="12.75">
      <c r="C109" s="780" t="str">
        <f>IF(D93="","-",+C108+1)</f>
        <v>-</v>
      </c>
      <c r="D109" s="728">
        <f t="shared" si="0"/>
        <v>0</v>
      </c>
      <c r="E109" s="781">
        <f t="shared" si="5"/>
        <v>0</v>
      </c>
      <c r="F109" s="728">
        <f t="shared" si="1"/>
        <v>0</v>
      </c>
      <c r="G109" s="786">
        <f t="shared" si="2"/>
        <v>0</v>
      </c>
      <c r="H109" s="787">
        <f t="shared" si="3"/>
        <v>0</v>
      </c>
      <c r="I109" s="784">
        <f t="shared" si="4"/>
        <v>0</v>
      </c>
      <c r="J109" s="784"/>
      <c r="K109" s="804"/>
      <c r="L109" s="788"/>
      <c r="M109" s="804"/>
      <c r="N109" s="788"/>
      <c r="O109" s="788"/>
    </row>
    <row r="110" spans="3:15" ht="12.75">
      <c r="C110" s="780" t="str">
        <f>IF(D93="","-",+C109+1)</f>
        <v>-</v>
      </c>
      <c r="D110" s="728">
        <f t="shared" si="0"/>
        <v>0</v>
      </c>
      <c r="E110" s="781">
        <f t="shared" si="5"/>
        <v>0</v>
      </c>
      <c r="F110" s="728">
        <f t="shared" si="1"/>
        <v>0</v>
      </c>
      <c r="G110" s="786">
        <f t="shared" si="2"/>
        <v>0</v>
      </c>
      <c r="H110" s="787">
        <f t="shared" si="3"/>
        <v>0</v>
      </c>
      <c r="I110" s="784">
        <f t="shared" si="4"/>
        <v>0</v>
      </c>
      <c r="J110" s="784"/>
      <c r="K110" s="804"/>
      <c r="L110" s="788"/>
      <c r="M110" s="804"/>
      <c r="N110" s="788"/>
      <c r="O110" s="788"/>
    </row>
    <row r="111" spans="3:15" ht="12.75">
      <c r="C111" s="780" t="str">
        <f>IF(D93="","-",+C110+1)</f>
        <v>-</v>
      </c>
      <c r="D111" s="728">
        <f t="shared" si="0"/>
        <v>0</v>
      </c>
      <c r="E111" s="781">
        <f t="shared" si="5"/>
        <v>0</v>
      </c>
      <c r="F111" s="728">
        <f t="shared" si="1"/>
        <v>0</v>
      </c>
      <c r="G111" s="786">
        <f t="shared" si="2"/>
        <v>0</v>
      </c>
      <c r="H111" s="787">
        <f t="shared" si="3"/>
        <v>0</v>
      </c>
      <c r="I111" s="784">
        <f t="shared" si="4"/>
        <v>0</v>
      </c>
      <c r="J111" s="784"/>
      <c r="K111" s="804"/>
      <c r="L111" s="788"/>
      <c r="M111" s="804"/>
      <c r="N111" s="789"/>
      <c r="O111" s="788"/>
    </row>
    <row r="112" spans="3:15" ht="12.75">
      <c r="C112" s="780" t="str">
        <f>IF(D93="","-",+C111+1)</f>
        <v>-</v>
      </c>
      <c r="D112" s="728">
        <f t="shared" si="0"/>
        <v>0</v>
      </c>
      <c r="E112" s="781">
        <f t="shared" si="5"/>
        <v>0</v>
      </c>
      <c r="F112" s="728">
        <f t="shared" si="1"/>
        <v>0</v>
      </c>
      <c r="G112" s="786">
        <f t="shared" si="2"/>
        <v>0</v>
      </c>
      <c r="H112" s="787">
        <f t="shared" si="3"/>
        <v>0</v>
      </c>
      <c r="I112" s="784">
        <f t="shared" si="4"/>
        <v>0</v>
      </c>
      <c r="J112" s="784"/>
      <c r="K112" s="804"/>
      <c r="L112" s="788"/>
      <c r="M112" s="804"/>
      <c r="N112" s="788"/>
      <c r="O112" s="788"/>
    </row>
    <row r="113" spans="3:15" ht="12.75">
      <c r="C113" s="780" t="str">
        <f>IF(D93="","-",+C112+1)</f>
        <v>-</v>
      </c>
      <c r="D113" s="728">
        <f t="shared" si="0"/>
        <v>0</v>
      </c>
      <c r="E113" s="781">
        <f t="shared" si="5"/>
        <v>0</v>
      </c>
      <c r="F113" s="728">
        <f t="shared" si="1"/>
        <v>0</v>
      </c>
      <c r="G113" s="786">
        <f t="shared" si="2"/>
        <v>0</v>
      </c>
      <c r="H113" s="787">
        <f t="shared" si="3"/>
        <v>0</v>
      </c>
      <c r="I113" s="784">
        <f t="shared" si="4"/>
        <v>0</v>
      </c>
      <c r="J113" s="784"/>
      <c r="K113" s="804"/>
      <c r="L113" s="788"/>
      <c r="M113" s="804"/>
      <c r="N113" s="788"/>
      <c r="O113" s="788"/>
    </row>
    <row r="114" spans="3:15" ht="12.75">
      <c r="C114" s="780" t="str">
        <f>IF(D93="","-",+C113+1)</f>
        <v>-</v>
      </c>
      <c r="D114" s="728">
        <f t="shared" si="0"/>
        <v>0</v>
      </c>
      <c r="E114" s="781">
        <f t="shared" si="5"/>
        <v>0</v>
      </c>
      <c r="F114" s="728">
        <f t="shared" si="1"/>
        <v>0</v>
      </c>
      <c r="G114" s="786">
        <f t="shared" si="2"/>
        <v>0</v>
      </c>
      <c r="H114" s="787">
        <f t="shared" si="3"/>
        <v>0</v>
      </c>
      <c r="I114" s="784">
        <f t="shared" si="4"/>
        <v>0</v>
      </c>
      <c r="J114" s="784"/>
      <c r="K114" s="804"/>
      <c r="L114" s="788"/>
      <c r="M114" s="804"/>
      <c r="N114" s="788"/>
      <c r="O114" s="788"/>
    </row>
    <row r="115" spans="3:15" ht="12.75">
      <c r="C115" s="780" t="str">
        <f>IF(D93="","-",+C114+1)</f>
        <v>-</v>
      </c>
      <c r="D115" s="728">
        <f t="shared" si="0"/>
        <v>0</v>
      </c>
      <c r="E115" s="781">
        <f t="shared" si="5"/>
        <v>0</v>
      </c>
      <c r="F115" s="728">
        <f t="shared" si="1"/>
        <v>0</v>
      </c>
      <c r="G115" s="786">
        <f t="shared" si="2"/>
        <v>0</v>
      </c>
      <c r="H115" s="787">
        <f t="shared" si="3"/>
        <v>0</v>
      </c>
      <c r="I115" s="784">
        <f t="shared" si="4"/>
        <v>0</v>
      </c>
      <c r="J115" s="784"/>
      <c r="K115" s="804"/>
      <c r="L115" s="788"/>
      <c r="M115" s="804"/>
      <c r="N115" s="788"/>
      <c r="O115" s="788"/>
    </row>
    <row r="116" spans="3:15" ht="12.75">
      <c r="C116" s="780" t="str">
        <f>IF(D93="","-",+C115+1)</f>
        <v>-</v>
      </c>
      <c r="D116" s="728">
        <f t="shared" si="0"/>
        <v>0</v>
      </c>
      <c r="E116" s="781">
        <f t="shared" si="5"/>
        <v>0</v>
      </c>
      <c r="F116" s="728">
        <f t="shared" si="1"/>
        <v>0</v>
      </c>
      <c r="G116" s="786">
        <f t="shared" si="2"/>
        <v>0</v>
      </c>
      <c r="H116" s="787">
        <f t="shared" si="3"/>
        <v>0</v>
      </c>
      <c r="I116" s="784">
        <f t="shared" si="4"/>
        <v>0</v>
      </c>
      <c r="J116" s="784"/>
      <c r="K116" s="804"/>
      <c r="L116" s="788"/>
      <c r="M116" s="804"/>
      <c r="N116" s="788"/>
      <c r="O116" s="788"/>
    </row>
    <row r="117" spans="3:15" ht="12.75">
      <c r="C117" s="780" t="str">
        <f>IF(D93="","-",+C116+1)</f>
        <v>-</v>
      </c>
      <c r="D117" s="728">
        <f t="shared" si="0"/>
        <v>0</v>
      </c>
      <c r="E117" s="781">
        <f t="shared" si="5"/>
        <v>0</v>
      </c>
      <c r="F117" s="728">
        <f t="shared" si="1"/>
        <v>0</v>
      </c>
      <c r="G117" s="786">
        <f t="shared" si="2"/>
        <v>0</v>
      </c>
      <c r="H117" s="787">
        <f t="shared" si="3"/>
        <v>0</v>
      </c>
      <c r="I117" s="784">
        <f t="shared" si="4"/>
        <v>0</v>
      </c>
      <c r="J117" s="784"/>
      <c r="K117" s="804"/>
      <c r="L117" s="788"/>
      <c r="M117" s="804"/>
      <c r="N117" s="788"/>
      <c r="O117" s="788"/>
    </row>
    <row r="118" spans="3:15" ht="12.75">
      <c r="C118" s="780" t="str">
        <f>IF(D93="","-",+C117+1)</f>
        <v>-</v>
      </c>
      <c r="D118" s="728">
        <f t="shared" si="0"/>
        <v>0</v>
      </c>
      <c r="E118" s="781">
        <f t="shared" si="5"/>
        <v>0</v>
      </c>
      <c r="F118" s="728">
        <f t="shared" si="1"/>
        <v>0</v>
      </c>
      <c r="G118" s="786">
        <f t="shared" si="2"/>
        <v>0</v>
      </c>
      <c r="H118" s="787">
        <f t="shared" si="3"/>
        <v>0</v>
      </c>
      <c r="I118" s="784">
        <f t="shared" si="4"/>
        <v>0</v>
      </c>
      <c r="J118" s="784"/>
      <c r="K118" s="804"/>
      <c r="L118" s="788"/>
      <c r="M118" s="804"/>
      <c r="N118" s="788"/>
      <c r="O118" s="788"/>
    </row>
    <row r="119" spans="3:15" ht="12.75">
      <c r="C119" s="780" t="str">
        <f>IF(D93="","-",+C118+1)</f>
        <v>-</v>
      </c>
      <c r="D119" s="728">
        <f t="shared" si="0"/>
        <v>0</v>
      </c>
      <c r="E119" s="781">
        <f t="shared" si="5"/>
        <v>0</v>
      </c>
      <c r="F119" s="728">
        <f t="shared" si="1"/>
        <v>0</v>
      </c>
      <c r="G119" s="786">
        <f t="shared" si="2"/>
        <v>0</v>
      </c>
      <c r="H119" s="787">
        <f t="shared" si="3"/>
        <v>0</v>
      </c>
      <c r="I119" s="784">
        <f t="shared" si="4"/>
        <v>0</v>
      </c>
      <c r="J119" s="784"/>
      <c r="K119" s="804"/>
      <c r="L119" s="788"/>
      <c r="M119" s="804"/>
      <c r="N119" s="788"/>
      <c r="O119" s="788"/>
    </row>
    <row r="120" spans="3:15" ht="12.75">
      <c r="C120" s="780" t="str">
        <f>IF(D93="","-",+C119+1)</f>
        <v>-</v>
      </c>
      <c r="D120" s="728">
        <f t="shared" si="0"/>
        <v>0</v>
      </c>
      <c r="E120" s="781">
        <f t="shared" si="5"/>
        <v>0</v>
      </c>
      <c r="F120" s="728">
        <f t="shared" si="1"/>
        <v>0</v>
      </c>
      <c r="G120" s="786">
        <f t="shared" si="2"/>
        <v>0</v>
      </c>
      <c r="H120" s="787">
        <f t="shared" si="3"/>
        <v>0</v>
      </c>
      <c r="I120" s="784">
        <f t="shared" si="4"/>
        <v>0</v>
      </c>
      <c r="J120" s="784"/>
      <c r="K120" s="804"/>
      <c r="L120" s="788"/>
      <c r="M120" s="804"/>
      <c r="N120" s="788"/>
      <c r="O120" s="788"/>
    </row>
    <row r="121" spans="3:15" ht="12.75">
      <c r="C121" s="780" t="str">
        <f>IF(D93="","-",+C120+1)</f>
        <v>-</v>
      </c>
      <c r="D121" s="728">
        <f t="shared" si="0"/>
        <v>0</v>
      </c>
      <c r="E121" s="781">
        <f t="shared" si="5"/>
        <v>0</v>
      </c>
      <c r="F121" s="728">
        <f t="shared" si="1"/>
        <v>0</v>
      </c>
      <c r="G121" s="786">
        <f t="shared" si="2"/>
        <v>0</v>
      </c>
      <c r="H121" s="787">
        <f t="shared" si="3"/>
        <v>0</v>
      </c>
      <c r="I121" s="784">
        <f t="shared" si="4"/>
        <v>0</v>
      </c>
      <c r="J121" s="784"/>
      <c r="K121" s="804"/>
      <c r="L121" s="788"/>
      <c r="M121" s="804"/>
      <c r="N121" s="788"/>
      <c r="O121" s="788"/>
    </row>
    <row r="122" spans="3:15" ht="12.75">
      <c r="C122" s="780" t="str">
        <f>IF(D93="","-",+C121+1)</f>
        <v>-</v>
      </c>
      <c r="D122" s="728">
        <f t="shared" si="0"/>
        <v>0</v>
      </c>
      <c r="E122" s="781">
        <f t="shared" si="5"/>
        <v>0</v>
      </c>
      <c r="F122" s="728">
        <f t="shared" si="1"/>
        <v>0</v>
      </c>
      <c r="G122" s="786">
        <f t="shared" si="2"/>
        <v>0</v>
      </c>
      <c r="H122" s="787">
        <f t="shared" si="3"/>
        <v>0</v>
      </c>
      <c r="I122" s="784">
        <f t="shared" si="4"/>
        <v>0</v>
      </c>
      <c r="J122" s="784"/>
      <c r="K122" s="804"/>
      <c r="L122" s="788"/>
      <c r="M122" s="804"/>
      <c r="N122" s="788"/>
      <c r="O122" s="788"/>
    </row>
    <row r="123" spans="3:15" ht="12.75">
      <c r="C123" s="780" t="str">
        <f>IF(D93="","-",+C122+1)</f>
        <v>-</v>
      </c>
      <c r="D123" s="728">
        <f t="shared" si="0"/>
        <v>0</v>
      </c>
      <c r="E123" s="781">
        <f t="shared" si="5"/>
        <v>0</v>
      </c>
      <c r="F123" s="728">
        <f t="shared" si="1"/>
        <v>0</v>
      </c>
      <c r="G123" s="786">
        <f t="shared" si="2"/>
        <v>0</v>
      </c>
      <c r="H123" s="787">
        <f t="shared" si="3"/>
        <v>0</v>
      </c>
      <c r="I123" s="784">
        <f t="shared" si="4"/>
        <v>0</v>
      </c>
      <c r="J123" s="784"/>
      <c r="K123" s="804"/>
      <c r="L123" s="788"/>
      <c r="M123" s="804"/>
      <c r="N123" s="788"/>
      <c r="O123" s="788"/>
    </row>
    <row r="124" spans="3:15" ht="12.75">
      <c r="C124" s="780" t="str">
        <f>IF(D93="","-",+C123+1)</f>
        <v>-</v>
      </c>
      <c r="D124" s="728">
        <f t="shared" si="0"/>
        <v>0</v>
      </c>
      <c r="E124" s="781">
        <f t="shared" si="5"/>
        <v>0</v>
      </c>
      <c r="F124" s="728">
        <f t="shared" si="1"/>
        <v>0</v>
      </c>
      <c r="G124" s="786">
        <f t="shared" si="2"/>
        <v>0</v>
      </c>
      <c r="H124" s="787">
        <f t="shared" si="3"/>
        <v>0</v>
      </c>
      <c r="I124" s="784">
        <f t="shared" si="4"/>
        <v>0</v>
      </c>
      <c r="J124" s="784"/>
      <c r="K124" s="804"/>
      <c r="L124" s="788"/>
      <c r="M124" s="804"/>
      <c r="N124" s="788"/>
      <c r="O124" s="788"/>
    </row>
    <row r="125" spans="3:15" ht="12.75">
      <c r="C125" s="780" t="str">
        <f>IF(D93="","-",+C124+1)</f>
        <v>-</v>
      </c>
      <c r="D125" s="728">
        <f t="shared" si="0"/>
        <v>0</v>
      </c>
      <c r="E125" s="781">
        <f t="shared" si="5"/>
        <v>0</v>
      </c>
      <c r="F125" s="728">
        <f t="shared" si="1"/>
        <v>0</v>
      </c>
      <c r="G125" s="786">
        <f t="shared" si="2"/>
        <v>0</v>
      </c>
      <c r="H125" s="787">
        <f t="shared" si="3"/>
        <v>0</v>
      </c>
      <c r="I125" s="784">
        <f t="shared" si="4"/>
        <v>0</v>
      </c>
      <c r="J125" s="784"/>
      <c r="K125" s="804"/>
      <c r="L125" s="788"/>
      <c r="M125" s="804"/>
      <c r="N125" s="788"/>
      <c r="O125" s="788"/>
    </row>
    <row r="126" spans="3:15" ht="12.75">
      <c r="C126" s="780" t="str">
        <f>IF(D93="","-",+C125+1)</f>
        <v>-</v>
      </c>
      <c r="D126" s="728">
        <f t="shared" si="0"/>
        <v>0</v>
      </c>
      <c r="E126" s="781">
        <f t="shared" si="5"/>
        <v>0</v>
      </c>
      <c r="F126" s="728">
        <f t="shared" si="1"/>
        <v>0</v>
      </c>
      <c r="G126" s="786">
        <f t="shared" si="2"/>
        <v>0</v>
      </c>
      <c r="H126" s="787">
        <f t="shared" si="3"/>
        <v>0</v>
      </c>
      <c r="I126" s="784">
        <f t="shared" si="4"/>
        <v>0</v>
      </c>
      <c r="J126" s="784"/>
      <c r="K126" s="804"/>
      <c r="L126" s="788"/>
      <c r="M126" s="804"/>
      <c r="N126" s="788"/>
      <c r="O126" s="788"/>
    </row>
    <row r="127" spans="3:15" ht="12.75">
      <c r="C127" s="780" t="str">
        <f>IF(D93="","-",+C126+1)</f>
        <v>-</v>
      </c>
      <c r="D127" s="728">
        <f t="shared" si="0"/>
        <v>0</v>
      </c>
      <c r="E127" s="781">
        <f t="shared" si="5"/>
        <v>0</v>
      </c>
      <c r="F127" s="728">
        <f t="shared" si="1"/>
        <v>0</v>
      </c>
      <c r="G127" s="782">
        <f t="shared" si="2"/>
        <v>0</v>
      </c>
      <c r="H127" s="787">
        <f t="shared" si="3"/>
        <v>0</v>
      </c>
      <c r="I127" s="784">
        <f t="shared" si="4"/>
        <v>0</v>
      </c>
      <c r="J127" s="784"/>
      <c r="K127" s="804"/>
      <c r="L127" s="788"/>
      <c r="M127" s="804"/>
      <c r="N127" s="788"/>
      <c r="O127" s="788"/>
    </row>
    <row r="128" spans="3:15" ht="12.75">
      <c r="C128" s="780" t="str">
        <f>IF(D93="","-",+C127+1)</f>
        <v>-</v>
      </c>
      <c r="D128" s="728">
        <f t="shared" si="0"/>
        <v>0</v>
      </c>
      <c r="E128" s="781">
        <f t="shared" si="5"/>
        <v>0</v>
      </c>
      <c r="F128" s="728">
        <f t="shared" si="1"/>
        <v>0</v>
      </c>
      <c r="G128" s="786">
        <f t="shared" si="2"/>
        <v>0</v>
      </c>
      <c r="H128" s="787">
        <f t="shared" si="3"/>
        <v>0</v>
      </c>
      <c r="I128" s="784">
        <f t="shared" si="4"/>
        <v>0</v>
      </c>
      <c r="J128" s="784"/>
      <c r="K128" s="804"/>
      <c r="L128" s="788"/>
      <c r="M128" s="804"/>
      <c r="N128" s="788"/>
      <c r="O128" s="788"/>
    </row>
    <row r="129" spans="3:15" ht="12.75">
      <c r="C129" s="780" t="str">
        <f>IF(D93="","-",+C128+1)</f>
        <v>-</v>
      </c>
      <c r="D129" s="728">
        <f t="shared" si="0"/>
        <v>0</v>
      </c>
      <c r="E129" s="781">
        <f t="shared" si="5"/>
        <v>0</v>
      </c>
      <c r="F129" s="728">
        <f t="shared" si="1"/>
        <v>0</v>
      </c>
      <c r="G129" s="786">
        <f t="shared" si="2"/>
        <v>0</v>
      </c>
      <c r="H129" s="787">
        <f t="shared" si="3"/>
        <v>0</v>
      </c>
      <c r="I129" s="784">
        <f t="shared" si="4"/>
        <v>0</v>
      </c>
      <c r="J129" s="784"/>
      <c r="K129" s="804"/>
      <c r="L129" s="788"/>
      <c r="M129" s="804"/>
      <c r="N129" s="788"/>
      <c r="O129" s="788"/>
    </row>
    <row r="130" spans="3:15" ht="12.75">
      <c r="C130" s="780" t="str">
        <f>IF(D93="","-",+C129+1)</f>
        <v>-</v>
      </c>
      <c r="D130" s="728">
        <f t="shared" si="0"/>
        <v>0</v>
      </c>
      <c r="E130" s="781">
        <f t="shared" si="5"/>
        <v>0</v>
      </c>
      <c r="F130" s="728">
        <f t="shared" si="1"/>
        <v>0</v>
      </c>
      <c r="G130" s="786">
        <f t="shared" si="2"/>
        <v>0</v>
      </c>
      <c r="H130" s="787">
        <f t="shared" si="3"/>
        <v>0</v>
      </c>
      <c r="I130" s="784">
        <f t="shared" si="4"/>
        <v>0</v>
      </c>
      <c r="J130" s="784"/>
      <c r="K130" s="804"/>
      <c r="L130" s="788"/>
      <c r="M130" s="804"/>
      <c r="N130" s="788"/>
      <c r="O130" s="788"/>
    </row>
    <row r="131" spans="3:15" ht="12.75">
      <c r="C131" s="780" t="str">
        <f>IF(D93="","-",+C130+1)</f>
        <v>-</v>
      </c>
      <c r="D131" s="728">
        <f t="shared" si="0"/>
        <v>0</v>
      </c>
      <c r="E131" s="781">
        <f t="shared" si="5"/>
        <v>0</v>
      </c>
      <c r="F131" s="728">
        <f t="shared" si="1"/>
        <v>0</v>
      </c>
      <c r="G131" s="786">
        <f t="shared" si="2"/>
        <v>0</v>
      </c>
      <c r="H131" s="787">
        <f t="shared" si="3"/>
        <v>0</v>
      </c>
      <c r="I131" s="784">
        <f t="shared" si="4"/>
        <v>0</v>
      </c>
      <c r="J131" s="784"/>
      <c r="K131" s="804"/>
      <c r="L131" s="788"/>
      <c r="M131" s="804"/>
      <c r="N131" s="788"/>
      <c r="O131" s="788"/>
    </row>
    <row r="132" spans="3:15" ht="12.75">
      <c r="C132" s="780" t="str">
        <f>IF(D93="","-",+C131+1)</f>
        <v>-</v>
      </c>
      <c r="D132" s="728">
        <f t="shared" si="0"/>
        <v>0</v>
      </c>
      <c r="E132" s="781">
        <f t="shared" si="5"/>
        <v>0</v>
      </c>
      <c r="F132" s="728">
        <f t="shared" si="1"/>
        <v>0</v>
      </c>
      <c r="G132" s="786">
        <f t="shared" si="2"/>
        <v>0</v>
      </c>
      <c r="H132" s="787">
        <f t="shared" si="3"/>
        <v>0</v>
      </c>
      <c r="I132" s="784">
        <f t="shared" si="4"/>
        <v>0</v>
      </c>
      <c r="J132" s="784"/>
      <c r="K132" s="804"/>
      <c r="L132" s="788"/>
      <c r="M132" s="804"/>
      <c r="N132" s="788"/>
      <c r="O132" s="788"/>
    </row>
    <row r="133" spans="3:15" ht="12.75">
      <c r="C133" s="780" t="str">
        <f>IF(D93="","-",+C132+1)</f>
        <v>-</v>
      </c>
      <c r="D133" s="728">
        <f t="shared" si="0"/>
        <v>0</v>
      </c>
      <c r="E133" s="781">
        <f t="shared" si="5"/>
        <v>0</v>
      </c>
      <c r="F133" s="728">
        <f t="shared" si="1"/>
        <v>0</v>
      </c>
      <c r="G133" s="786">
        <f t="shared" si="2"/>
        <v>0</v>
      </c>
      <c r="H133" s="787">
        <f t="shared" si="3"/>
        <v>0</v>
      </c>
      <c r="I133" s="784">
        <f t="shared" si="4"/>
        <v>0</v>
      </c>
      <c r="J133" s="784"/>
      <c r="K133" s="804"/>
      <c r="L133" s="788"/>
      <c r="M133" s="804"/>
      <c r="N133" s="788"/>
      <c r="O133" s="788"/>
    </row>
    <row r="134" spans="3:15" ht="12.75">
      <c r="C134" s="780" t="str">
        <f>IF(D93="","-",+C133+1)</f>
        <v>-</v>
      </c>
      <c r="D134" s="728">
        <f t="shared" si="0"/>
        <v>0</v>
      </c>
      <c r="E134" s="781">
        <f t="shared" si="5"/>
        <v>0</v>
      </c>
      <c r="F134" s="728">
        <f t="shared" si="1"/>
        <v>0</v>
      </c>
      <c r="G134" s="786">
        <f t="shared" si="2"/>
        <v>0</v>
      </c>
      <c r="H134" s="787">
        <f t="shared" si="3"/>
        <v>0</v>
      </c>
      <c r="I134" s="784">
        <f t="shared" si="4"/>
        <v>0</v>
      </c>
      <c r="J134" s="784"/>
      <c r="K134" s="804"/>
      <c r="L134" s="788"/>
      <c r="M134" s="804"/>
      <c r="N134" s="788"/>
      <c r="O134" s="788"/>
    </row>
    <row r="135" spans="3:15" ht="12.75">
      <c r="C135" s="780" t="str">
        <f>IF(D93="","-",+C134+1)</f>
        <v>-</v>
      </c>
      <c r="D135" s="728">
        <f t="shared" si="0"/>
        <v>0</v>
      </c>
      <c r="E135" s="781">
        <f t="shared" si="5"/>
        <v>0</v>
      </c>
      <c r="F135" s="728">
        <f t="shared" si="1"/>
        <v>0</v>
      </c>
      <c r="G135" s="786">
        <f t="shared" si="2"/>
        <v>0</v>
      </c>
      <c r="H135" s="787">
        <f t="shared" si="3"/>
        <v>0</v>
      </c>
      <c r="I135" s="784">
        <f t="shared" si="4"/>
        <v>0</v>
      </c>
      <c r="J135" s="784"/>
      <c r="K135" s="804"/>
      <c r="L135" s="788"/>
      <c r="M135" s="804"/>
      <c r="N135" s="788"/>
      <c r="O135" s="788"/>
    </row>
    <row r="136" spans="3:15" ht="12.75">
      <c r="C136" s="780" t="str">
        <f>IF(D93="","-",+C135+1)</f>
        <v>-</v>
      </c>
      <c r="D136" s="728">
        <f t="shared" si="0"/>
        <v>0</v>
      </c>
      <c r="E136" s="781">
        <f t="shared" si="5"/>
        <v>0</v>
      </c>
      <c r="F136" s="728">
        <f t="shared" si="1"/>
        <v>0</v>
      </c>
      <c r="G136" s="786">
        <f t="shared" si="2"/>
        <v>0</v>
      </c>
      <c r="H136" s="787">
        <f t="shared" si="3"/>
        <v>0</v>
      </c>
      <c r="I136" s="784">
        <f t="shared" si="4"/>
        <v>0</v>
      </c>
      <c r="J136" s="784"/>
      <c r="K136" s="804"/>
      <c r="L136" s="788"/>
      <c r="M136" s="804"/>
      <c r="N136" s="788"/>
      <c r="O136" s="788"/>
    </row>
    <row r="137" spans="3:15" ht="12.75">
      <c r="C137" s="780" t="str">
        <f>IF(D93="","-",+C136+1)</f>
        <v>-</v>
      </c>
      <c r="D137" s="728">
        <f t="shared" si="0"/>
        <v>0</v>
      </c>
      <c r="E137" s="781">
        <f t="shared" si="5"/>
        <v>0</v>
      </c>
      <c r="F137" s="728">
        <f t="shared" si="1"/>
        <v>0</v>
      </c>
      <c r="G137" s="786">
        <f t="shared" si="2"/>
        <v>0</v>
      </c>
      <c r="H137" s="787">
        <f t="shared" si="3"/>
        <v>0</v>
      </c>
      <c r="I137" s="784">
        <f t="shared" si="4"/>
        <v>0</v>
      </c>
      <c r="J137" s="784"/>
      <c r="K137" s="804"/>
      <c r="L137" s="788"/>
      <c r="M137" s="804"/>
      <c r="N137" s="788"/>
      <c r="O137" s="788"/>
    </row>
    <row r="138" spans="3:15" ht="12.75">
      <c r="C138" s="780" t="str">
        <f>IF(D93="","-",+C137+1)</f>
        <v>-</v>
      </c>
      <c r="D138" s="728">
        <f t="shared" si="0"/>
        <v>0</v>
      </c>
      <c r="E138" s="781">
        <f t="shared" si="5"/>
        <v>0</v>
      </c>
      <c r="F138" s="728">
        <f t="shared" si="1"/>
        <v>0</v>
      </c>
      <c r="G138" s="786">
        <f t="shared" si="2"/>
        <v>0</v>
      </c>
      <c r="H138" s="787">
        <f t="shared" si="3"/>
        <v>0</v>
      </c>
      <c r="I138" s="784">
        <f t="shared" si="4"/>
        <v>0</v>
      </c>
      <c r="J138" s="784"/>
      <c r="K138" s="804"/>
      <c r="L138" s="788"/>
      <c r="M138" s="804"/>
      <c r="N138" s="788"/>
      <c r="O138" s="788"/>
    </row>
    <row r="139" spans="3:15" ht="12.75">
      <c r="C139" s="780" t="str">
        <f>IF(D93="","-",+C138+1)</f>
        <v>-</v>
      </c>
      <c r="D139" s="728">
        <f t="shared" si="0"/>
        <v>0</v>
      </c>
      <c r="E139" s="781">
        <f t="shared" si="5"/>
        <v>0</v>
      </c>
      <c r="F139" s="728">
        <f t="shared" si="1"/>
        <v>0</v>
      </c>
      <c r="G139" s="786">
        <f t="shared" si="2"/>
        <v>0</v>
      </c>
      <c r="H139" s="787">
        <f t="shared" si="3"/>
        <v>0</v>
      </c>
      <c r="I139" s="784">
        <f t="shared" si="4"/>
        <v>0</v>
      </c>
      <c r="J139" s="784"/>
      <c r="K139" s="804"/>
      <c r="L139" s="788"/>
      <c r="M139" s="804"/>
      <c r="N139" s="788"/>
      <c r="O139" s="788"/>
    </row>
    <row r="140" spans="3:15" ht="12.75">
      <c r="C140" s="780" t="str">
        <f>IF(D93="","-",+C139+1)</f>
        <v>-</v>
      </c>
      <c r="D140" s="728">
        <f t="shared" si="0"/>
        <v>0</v>
      </c>
      <c r="E140" s="781">
        <f t="shared" si="5"/>
        <v>0</v>
      </c>
      <c r="F140" s="728">
        <f t="shared" si="1"/>
        <v>0</v>
      </c>
      <c r="G140" s="786">
        <f t="shared" si="2"/>
        <v>0</v>
      </c>
      <c r="H140" s="787">
        <f t="shared" si="3"/>
        <v>0</v>
      </c>
      <c r="I140" s="784">
        <f t="shared" si="4"/>
        <v>0</v>
      </c>
      <c r="J140" s="784"/>
      <c r="K140" s="804"/>
      <c r="L140" s="788"/>
      <c r="M140" s="804"/>
      <c r="N140" s="788"/>
      <c r="O140" s="788"/>
    </row>
    <row r="141" spans="3:15" ht="12.75">
      <c r="C141" s="780" t="str">
        <f>IF(D93="","-",+C140+1)</f>
        <v>-</v>
      </c>
      <c r="D141" s="728">
        <f t="shared" si="0"/>
        <v>0</v>
      </c>
      <c r="E141" s="781">
        <f t="shared" si="5"/>
        <v>0</v>
      </c>
      <c r="F141" s="728">
        <f t="shared" si="1"/>
        <v>0</v>
      </c>
      <c r="G141" s="786">
        <f t="shared" si="2"/>
        <v>0</v>
      </c>
      <c r="H141" s="787">
        <f t="shared" si="3"/>
        <v>0</v>
      </c>
      <c r="I141" s="784">
        <f t="shared" si="4"/>
        <v>0</v>
      </c>
      <c r="J141" s="784"/>
      <c r="K141" s="804"/>
      <c r="L141" s="788"/>
      <c r="M141" s="804"/>
      <c r="N141" s="788"/>
      <c r="O141" s="788"/>
    </row>
    <row r="142" spans="3:15" ht="12.75">
      <c r="C142" s="780" t="str">
        <f>IF(D93="","-",+C141+1)</f>
        <v>-</v>
      </c>
      <c r="D142" s="728">
        <f t="shared" si="0"/>
        <v>0</v>
      </c>
      <c r="E142" s="781">
        <f t="shared" si="5"/>
        <v>0</v>
      </c>
      <c r="F142" s="728">
        <f t="shared" si="1"/>
        <v>0</v>
      </c>
      <c r="G142" s="786">
        <f t="shared" si="2"/>
        <v>0</v>
      </c>
      <c r="H142" s="787">
        <f t="shared" si="3"/>
        <v>0</v>
      </c>
      <c r="I142" s="784">
        <f t="shared" si="4"/>
        <v>0</v>
      </c>
      <c r="J142" s="784"/>
      <c r="K142" s="804"/>
      <c r="L142" s="788"/>
      <c r="M142" s="804"/>
      <c r="N142" s="788"/>
      <c r="O142" s="788"/>
    </row>
    <row r="143" spans="3:15" ht="12.75">
      <c r="C143" s="780" t="str">
        <f>IF(D93="","-",+C142+1)</f>
        <v>-</v>
      </c>
      <c r="D143" s="728">
        <f t="shared" si="0"/>
        <v>0</v>
      </c>
      <c r="E143" s="781">
        <f t="shared" si="5"/>
        <v>0</v>
      </c>
      <c r="F143" s="728">
        <f t="shared" si="1"/>
        <v>0</v>
      </c>
      <c r="G143" s="786">
        <f t="shared" si="2"/>
        <v>0</v>
      </c>
      <c r="H143" s="787">
        <f t="shared" si="3"/>
        <v>0</v>
      </c>
      <c r="I143" s="784">
        <f t="shared" si="4"/>
        <v>0</v>
      </c>
      <c r="J143" s="784"/>
      <c r="K143" s="804"/>
      <c r="L143" s="788"/>
      <c r="M143" s="804"/>
      <c r="N143" s="788"/>
      <c r="O143" s="788"/>
    </row>
    <row r="144" spans="3:15" ht="12.75">
      <c r="C144" s="780" t="str">
        <f>IF(D93="","-",+C143+1)</f>
        <v>-</v>
      </c>
      <c r="D144" s="728">
        <f t="shared" si="0"/>
        <v>0</v>
      </c>
      <c r="E144" s="781">
        <f t="shared" si="5"/>
        <v>0</v>
      </c>
      <c r="F144" s="728">
        <f t="shared" si="1"/>
        <v>0</v>
      </c>
      <c r="G144" s="786">
        <f t="shared" si="2"/>
        <v>0</v>
      </c>
      <c r="H144" s="787">
        <f t="shared" si="3"/>
        <v>0</v>
      </c>
      <c r="I144" s="784">
        <f t="shared" si="4"/>
        <v>0</v>
      </c>
      <c r="J144" s="784"/>
      <c r="K144" s="804"/>
      <c r="L144" s="788"/>
      <c r="M144" s="804"/>
      <c r="N144" s="788"/>
      <c r="O144" s="788"/>
    </row>
    <row r="145" spans="3:15" ht="12.75">
      <c r="C145" s="780" t="str">
        <f>IF(D93="","-",+C144+1)</f>
        <v>-</v>
      </c>
      <c r="D145" s="728">
        <f t="shared" si="0"/>
        <v>0</v>
      </c>
      <c r="E145" s="781">
        <f t="shared" si="5"/>
        <v>0</v>
      </c>
      <c r="F145" s="728">
        <f t="shared" si="1"/>
        <v>0</v>
      </c>
      <c r="G145" s="786">
        <f t="shared" si="2"/>
        <v>0</v>
      </c>
      <c r="H145" s="787">
        <f t="shared" si="3"/>
        <v>0</v>
      </c>
      <c r="I145" s="784">
        <f t="shared" si="4"/>
        <v>0</v>
      </c>
      <c r="J145" s="784"/>
      <c r="K145" s="804"/>
      <c r="L145" s="788"/>
      <c r="M145" s="804"/>
      <c r="N145" s="788"/>
      <c r="O145" s="788"/>
    </row>
    <row r="146" spans="3:15" ht="12.75">
      <c r="C146" s="780" t="str">
        <f>IF(D93="","-",+C145+1)</f>
        <v>-</v>
      </c>
      <c r="D146" s="728">
        <f t="shared" si="0"/>
        <v>0</v>
      </c>
      <c r="E146" s="781">
        <f t="shared" si="5"/>
        <v>0</v>
      </c>
      <c r="F146" s="728">
        <f t="shared" si="1"/>
        <v>0</v>
      </c>
      <c r="G146" s="786">
        <f t="shared" si="2"/>
        <v>0</v>
      </c>
      <c r="H146" s="787">
        <f t="shared" si="3"/>
        <v>0</v>
      </c>
      <c r="I146" s="784">
        <f t="shared" si="4"/>
        <v>0</v>
      </c>
      <c r="J146" s="784"/>
      <c r="K146" s="804"/>
      <c r="L146" s="788"/>
      <c r="M146" s="804"/>
      <c r="N146" s="788"/>
      <c r="O146" s="788"/>
    </row>
    <row r="147" spans="3:15" ht="12.75">
      <c r="C147" s="780" t="str">
        <f>IF(D93="","-",+C146+1)</f>
        <v>-</v>
      </c>
      <c r="D147" s="728">
        <f t="shared" si="0"/>
        <v>0</v>
      </c>
      <c r="E147" s="781">
        <f t="shared" si="5"/>
        <v>0</v>
      </c>
      <c r="F147" s="728">
        <f t="shared" si="1"/>
        <v>0</v>
      </c>
      <c r="G147" s="786">
        <f t="shared" si="2"/>
        <v>0</v>
      </c>
      <c r="H147" s="787">
        <f t="shared" si="3"/>
        <v>0</v>
      </c>
      <c r="I147" s="784">
        <f t="shared" si="4"/>
        <v>0</v>
      </c>
      <c r="J147" s="784"/>
      <c r="K147" s="804"/>
      <c r="L147" s="788"/>
      <c r="M147" s="804"/>
      <c r="N147" s="788"/>
      <c r="O147" s="788"/>
    </row>
    <row r="148" spans="3:15" ht="12.75">
      <c r="C148" s="780" t="str">
        <f>IF(D93="","-",+C147+1)</f>
        <v>-</v>
      </c>
      <c r="D148" s="728">
        <f t="shared" si="0"/>
        <v>0</v>
      </c>
      <c r="E148" s="781">
        <f t="shared" si="5"/>
        <v>0</v>
      </c>
      <c r="F148" s="728">
        <f t="shared" si="1"/>
        <v>0</v>
      </c>
      <c r="G148" s="786">
        <f t="shared" si="2"/>
        <v>0</v>
      </c>
      <c r="H148" s="787">
        <f t="shared" si="3"/>
        <v>0</v>
      </c>
      <c r="I148" s="784">
        <f t="shared" si="4"/>
        <v>0</v>
      </c>
      <c r="J148" s="784"/>
      <c r="K148" s="804"/>
      <c r="L148" s="788"/>
      <c r="M148" s="804"/>
      <c r="N148" s="788"/>
      <c r="O148" s="788"/>
    </row>
    <row r="149" spans="3:15" ht="12.75">
      <c r="C149" s="780" t="str">
        <f>IF(D93="","-",+C148+1)</f>
        <v>-</v>
      </c>
      <c r="D149" s="728">
        <f t="shared" si="0"/>
        <v>0</v>
      </c>
      <c r="E149" s="781">
        <f t="shared" si="5"/>
        <v>0</v>
      </c>
      <c r="F149" s="728">
        <f t="shared" si="1"/>
        <v>0</v>
      </c>
      <c r="G149" s="786">
        <f t="shared" si="2"/>
        <v>0</v>
      </c>
      <c r="H149" s="787">
        <f t="shared" si="3"/>
        <v>0</v>
      </c>
      <c r="I149" s="784">
        <f t="shared" si="4"/>
        <v>0</v>
      </c>
      <c r="J149" s="784"/>
      <c r="K149" s="804"/>
      <c r="L149" s="788"/>
      <c r="M149" s="804"/>
      <c r="N149" s="788"/>
      <c r="O149" s="788"/>
    </row>
    <row r="150" spans="3:15" ht="12.75">
      <c r="C150" s="780" t="str">
        <f>IF(D93="","-",+C149+1)</f>
        <v>-</v>
      </c>
      <c r="D150" s="728">
        <f t="shared" si="0"/>
        <v>0</v>
      </c>
      <c r="E150" s="781">
        <f t="shared" si="5"/>
        <v>0</v>
      </c>
      <c r="F150" s="728">
        <f t="shared" si="1"/>
        <v>0</v>
      </c>
      <c r="G150" s="786">
        <f t="shared" si="2"/>
        <v>0</v>
      </c>
      <c r="H150" s="787">
        <f t="shared" si="3"/>
        <v>0</v>
      </c>
      <c r="I150" s="784">
        <f t="shared" si="4"/>
        <v>0</v>
      </c>
      <c r="J150" s="784"/>
      <c r="K150" s="804"/>
      <c r="L150" s="788"/>
      <c r="M150" s="804"/>
      <c r="N150" s="788"/>
      <c r="O150" s="788"/>
    </row>
    <row r="151" spans="3:15" ht="12.75">
      <c r="C151" s="780" t="str">
        <f>IF(D93="","-",+C150+1)</f>
        <v>-</v>
      </c>
      <c r="D151" s="728">
        <f t="shared" si="0"/>
        <v>0</v>
      </c>
      <c r="E151" s="781">
        <f t="shared" si="5"/>
        <v>0</v>
      </c>
      <c r="F151" s="728">
        <f t="shared" si="1"/>
        <v>0</v>
      </c>
      <c r="G151" s="786">
        <f t="shared" si="2"/>
        <v>0</v>
      </c>
      <c r="H151" s="787">
        <f t="shared" si="3"/>
        <v>0</v>
      </c>
      <c r="I151" s="784">
        <f t="shared" si="4"/>
        <v>0</v>
      </c>
      <c r="J151" s="784"/>
      <c r="K151" s="804"/>
      <c r="L151" s="788"/>
      <c r="M151" s="804"/>
      <c r="N151" s="788"/>
      <c r="O151" s="788"/>
    </row>
    <row r="152" spans="3:15" ht="12.75">
      <c r="C152" s="780" t="str">
        <f>IF(D93="","-",+C151+1)</f>
        <v>-</v>
      </c>
      <c r="D152" s="728">
        <f t="shared" si="0"/>
        <v>0</v>
      </c>
      <c r="E152" s="781">
        <f t="shared" si="5"/>
        <v>0</v>
      </c>
      <c r="F152" s="728">
        <f t="shared" si="1"/>
        <v>0</v>
      </c>
      <c r="G152" s="786">
        <f t="shared" si="2"/>
        <v>0</v>
      </c>
      <c r="H152" s="787">
        <f t="shared" si="3"/>
        <v>0</v>
      </c>
      <c r="I152" s="784">
        <f t="shared" si="4"/>
        <v>0</v>
      </c>
      <c r="J152" s="784"/>
      <c r="K152" s="804"/>
      <c r="L152" s="788"/>
      <c r="M152" s="804"/>
      <c r="N152" s="788"/>
      <c r="O152" s="788"/>
    </row>
    <row r="153" spans="3:15" ht="12.75">
      <c r="C153" s="780" t="str">
        <f>IF(D93="","-",+C152+1)</f>
        <v>-</v>
      </c>
      <c r="D153" s="728">
        <f t="shared" si="0"/>
        <v>0</v>
      </c>
      <c r="E153" s="781">
        <f t="shared" si="5"/>
        <v>0</v>
      </c>
      <c r="F153" s="728">
        <f t="shared" si="1"/>
        <v>0</v>
      </c>
      <c r="G153" s="786">
        <f t="shared" si="2"/>
        <v>0</v>
      </c>
      <c r="H153" s="787">
        <f t="shared" si="3"/>
        <v>0</v>
      </c>
      <c r="I153" s="784">
        <f t="shared" si="4"/>
        <v>0</v>
      </c>
      <c r="J153" s="784"/>
      <c r="K153" s="804"/>
      <c r="L153" s="788"/>
      <c r="M153" s="804"/>
      <c r="N153" s="788"/>
      <c r="O153" s="788"/>
    </row>
    <row r="154" spans="3:15" ht="12.75">
      <c r="C154" s="780" t="str">
        <f>IF(D93="","-",+C153+1)</f>
        <v>-</v>
      </c>
      <c r="D154" s="728">
        <f t="shared" si="0"/>
        <v>0</v>
      </c>
      <c r="E154" s="781">
        <f t="shared" si="5"/>
        <v>0</v>
      </c>
      <c r="F154" s="728">
        <f t="shared" si="1"/>
        <v>0</v>
      </c>
      <c r="G154" s="786">
        <f t="shared" si="2"/>
        <v>0</v>
      </c>
      <c r="H154" s="787">
        <f t="shared" si="3"/>
        <v>0</v>
      </c>
      <c r="I154" s="784">
        <f t="shared" si="4"/>
        <v>0</v>
      </c>
      <c r="J154" s="784"/>
      <c r="K154" s="804"/>
      <c r="L154" s="788"/>
      <c r="M154" s="804"/>
      <c r="N154" s="788"/>
      <c r="O154" s="788"/>
    </row>
    <row r="155" spans="3:15" ht="12.75">
      <c r="C155" s="780" t="str">
        <f>IF(D93="","-",+C154+1)</f>
        <v>-</v>
      </c>
      <c r="D155" s="728">
        <f t="shared" si="0"/>
        <v>0</v>
      </c>
      <c r="E155" s="781">
        <f t="shared" si="5"/>
        <v>0</v>
      </c>
      <c r="F155" s="728">
        <f t="shared" si="1"/>
        <v>0</v>
      </c>
      <c r="G155" s="786">
        <f t="shared" si="2"/>
        <v>0</v>
      </c>
      <c r="H155" s="787">
        <f t="shared" si="3"/>
        <v>0</v>
      </c>
      <c r="I155" s="784">
        <f t="shared" si="4"/>
        <v>0</v>
      </c>
      <c r="J155" s="784"/>
      <c r="K155" s="804"/>
      <c r="L155" s="788"/>
      <c r="M155" s="804"/>
      <c r="N155" s="788"/>
      <c r="O155" s="788"/>
    </row>
    <row r="156" spans="3:15" ht="12.75">
      <c r="C156" s="780" t="str">
        <f>IF(D93="","-",+C155+1)</f>
        <v>-</v>
      </c>
      <c r="D156" s="728">
        <f t="shared" si="0"/>
        <v>0</v>
      </c>
      <c r="E156" s="781">
        <f t="shared" si="5"/>
        <v>0</v>
      </c>
      <c r="F156" s="728">
        <f t="shared" si="1"/>
        <v>0</v>
      </c>
      <c r="G156" s="786">
        <f t="shared" si="2"/>
        <v>0</v>
      </c>
      <c r="H156" s="787">
        <f t="shared" si="3"/>
        <v>0</v>
      </c>
      <c r="I156" s="784">
        <f t="shared" si="4"/>
        <v>0</v>
      </c>
      <c r="J156" s="784"/>
      <c r="K156" s="804"/>
      <c r="L156" s="788"/>
      <c r="M156" s="804"/>
      <c r="N156" s="788"/>
      <c r="O156" s="788"/>
    </row>
    <row r="157" spans="3:15" ht="12.75">
      <c r="C157" s="780" t="str">
        <f>IF(D93="","-",+C156+1)</f>
        <v>-</v>
      </c>
      <c r="D157" s="728">
        <f t="shared" si="0"/>
        <v>0</v>
      </c>
      <c r="E157" s="781">
        <f t="shared" si="5"/>
        <v>0</v>
      </c>
      <c r="F157" s="728">
        <f t="shared" si="1"/>
        <v>0</v>
      </c>
      <c r="G157" s="786">
        <f t="shared" si="2"/>
        <v>0</v>
      </c>
      <c r="H157" s="787">
        <f t="shared" si="3"/>
        <v>0</v>
      </c>
      <c r="I157" s="784">
        <f t="shared" si="4"/>
        <v>0</v>
      </c>
      <c r="J157" s="784"/>
      <c r="K157" s="804"/>
      <c r="L157" s="788"/>
      <c r="M157" s="804"/>
      <c r="N157" s="788"/>
      <c r="O157" s="788"/>
    </row>
    <row r="158" spans="3:15" ht="13.5" thickBot="1">
      <c r="C158" s="790" t="str">
        <f>IF(D93="","-",+C157+1)</f>
        <v>-</v>
      </c>
      <c r="D158" s="791">
        <f t="shared" si="0"/>
        <v>0</v>
      </c>
      <c r="E158" s="792">
        <f t="shared" si="5"/>
        <v>0</v>
      </c>
      <c r="F158" s="791">
        <f t="shared" si="1"/>
        <v>0</v>
      </c>
      <c r="G158" s="793">
        <f t="shared" si="2"/>
        <v>0</v>
      </c>
      <c r="H158" s="793">
        <f t="shared" si="3"/>
        <v>0</v>
      </c>
      <c r="I158" s="794">
        <f t="shared" si="4"/>
        <v>0</v>
      </c>
      <c r="J158" s="784"/>
      <c r="K158" s="805"/>
      <c r="L158" s="795"/>
      <c r="M158" s="805"/>
      <c r="N158" s="795"/>
      <c r="O158" s="795"/>
    </row>
    <row r="159" spans="3:15" ht="12.75">
      <c r="C159" s="728" t="s">
        <v>92</v>
      </c>
      <c r="D159" s="722"/>
      <c r="E159" s="722">
        <f>SUM(E99:E158)</f>
        <v>0</v>
      </c>
      <c r="F159" s="722"/>
      <c r="G159" s="722">
        <f>SUM(G99:G158)</f>
        <v>0</v>
      </c>
      <c r="H159" s="722">
        <f>SUM(H99:H158)</f>
        <v>0</v>
      </c>
      <c r="I159" s="722">
        <f>SUM(I99:I158)</f>
        <v>0</v>
      </c>
      <c r="J159" s="722"/>
      <c r="K159" s="722"/>
      <c r="L159" s="722"/>
      <c r="M159" s="722"/>
      <c r="N159" s="722"/>
      <c r="O159" s="308"/>
    </row>
    <row r="160" spans="4:15" ht="12.75">
      <c r="D160" s="532"/>
      <c r="E160" s="308"/>
      <c r="F160" s="308"/>
      <c r="G160" s="308"/>
      <c r="H160" s="701"/>
      <c r="I160" s="701"/>
      <c r="J160" s="722"/>
      <c r="K160" s="701"/>
      <c r="L160" s="701"/>
      <c r="M160" s="701"/>
      <c r="N160" s="701"/>
      <c r="O160" s="308"/>
    </row>
    <row r="161" spans="3:15" ht="12.75">
      <c r="C161" s="308" t="s">
        <v>14</v>
      </c>
      <c r="D161" s="532"/>
      <c r="E161" s="308"/>
      <c r="F161" s="308"/>
      <c r="G161" s="308"/>
      <c r="H161" s="701"/>
      <c r="I161" s="701"/>
      <c r="J161" s="722"/>
      <c r="K161" s="701"/>
      <c r="L161" s="701"/>
      <c r="M161" s="701"/>
      <c r="N161" s="701"/>
      <c r="O161" s="308"/>
    </row>
    <row r="162" spans="3:15" ht="12.75">
      <c r="C162" s="308"/>
      <c r="D162" s="532"/>
      <c r="E162" s="308"/>
      <c r="F162" s="308"/>
      <c r="G162" s="308"/>
      <c r="H162" s="701"/>
      <c r="I162" s="701"/>
      <c r="J162" s="722"/>
      <c r="K162" s="701"/>
      <c r="L162" s="701"/>
      <c r="M162" s="701"/>
      <c r="N162" s="701"/>
      <c r="O162" s="308"/>
    </row>
    <row r="163" spans="3:15" ht="12.75">
      <c r="C163" s="741" t="s">
        <v>15</v>
      </c>
      <c r="D163" s="728"/>
      <c r="E163" s="728"/>
      <c r="F163" s="728"/>
      <c r="G163" s="722"/>
      <c r="H163" s="722"/>
      <c r="I163" s="796"/>
      <c r="J163" s="796"/>
      <c r="K163" s="796"/>
      <c r="L163" s="796"/>
      <c r="M163" s="796"/>
      <c r="N163" s="796"/>
      <c r="O163" s="308"/>
    </row>
    <row r="164" spans="3:15" ht="12.75">
      <c r="C164" s="727" t="s">
        <v>272</v>
      </c>
      <c r="D164" s="728"/>
      <c r="E164" s="728"/>
      <c r="F164" s="728"/>
      <c r="G164" s="722"/>
      <c r="H164" s="722"/>
      <c r="I164" s="796"/>
      <c r="J164" s="796"/>
      <c r="K164" s="796"/>
      <c r="L164" s="796"/>
      <c r="M164" s="796"/>
      <c r="N164" s="796"/>
      <c r="O164" s="308"/>
    </row>
    <row r="165" spans="3:15" ht="12.75">
      <c r="C165" s="727" t="s">
        <v>93</v>
      </c>
      <c r="D165" s="728"/>
      <c r="E165" s="728"/>
      <c r="F165" s="728"/>
      <c r="G165" s="722"/>
      <c r="H165" s="722"/>
      <c r="I165" s="796"/>
      <c r="J165" s="796"/>
      <c r="K165" s="796"/>
      <c r="L165" s="796"/>
      <c r="M165" s="796"/>
      <c r="N165" s="796"/>
      <c r="O165" s="308"/>
    </row>
    <row r="166" spans="3:15" ht="12.75">
      <c r="C166" s="727"/>
      <c r="D166" s="728"/>
      <c r="E166" s="728"/>
      <c r="F166" s="728"/>
      <c r="G166" s="722"/>
      <c r="H166" s="722"/>
      <c r="I166" s="796"/>
      <c r="J166" s="796"/>
      <c r="K166" s="796"/>
      <c r="L166" s="796"/>
      <c r="M166" s="796"/>
      <c r="N166" s="796"/>
      <c r="O166" s="308"/>
    </row>
    <row r="167" spans="3:15" ht="12.75">
      <c r="C167" s="1461" t="s">
        <v>7</v>
      </c>
      <c r="D167" s="1461"/>
      <c r="E167" s="1461"/>
      <c r="F167" s="1461"/>
      <c r="G167" s="1461"/>
      <c r="H167" s="1461"/>
      <c r="I167" s="1461"/>
      <c r="J167" s="1461"/>
      <c r="K167" s="1461"/>
      <c r="L167" s="1461"/>
      <c r="M167" s="1461"/>
      <c r="N167" s="1461"/>
      <c r="O167" s="1461"/>
    </row>
    <row r="168" spans="3:15" ht="12.75">
      <c r="C168" s="1461"/>
      <c r="D168" s="1461"/>
      <c r="E168" s="1461"/>
      <c r="F168" s="1461"/>
      <c r="G168" s="1461"/>
      <c r="H168" s="1461"/>
      <c r="I168" s="1461"/>
      <c r="J168" s="1461"/>
      <c r="K168" s="1461"/>
      <c r="L168" s="1461"/>
      <c r="M168" s="1461"/>
      <c r="N168" s="1461"/>
      <c r="O168" s="1461"/>
    </row>
  </sheetData>
  <sheetProtection/>
  <mergeCells count="10">
    <mergeCell ref="D88:I88"/>
    <mergeCell ref="C167:O168"/>
    <mergeCell ref="K92:O92"/>
    <mergeCell ref="A1:O1"/>
    <mergeCell ref="C9:H10"/>
    <mergeCell ref="A2:O2"/>
    <mergeCell ref="A3:O3"/>
    <mergeCell ref="A4:O4"/>
    <mergeCell ref="I75:O78"/>
    <mergeCell ref="K20:O21"/>
  </mergeCells>
  <conditionalFormatting sqref="C99:C158">
    <cfRule type="cellIs" priority="11" dxfId="2" operator="equal" stopIfTrue="1">
      <formula>$I$90</formula>
    </cfRule>
  </conditionalFormatting>
  <printOptions/>
  <pageMargins left="0.25" right="0.25" top="1" bottom="1" header="0.75" footer="0.5"/>
  <pageSetup horizontalDpi="600" verticalDpi="600" orientation="landscape" scale="38" r:id="rId1"/>
  <headerFooter alignWithMargins="0">
    <oddHeader>&amp;R&amp;"Arial,Bold"Formula Rate 
&amp;A
Page &amp;P of &amp;N</oddHeader>
  </headerFooter>
  <rowBreaks count="1" manualBreakCount="1">
    <brk id="78" max="14" man="1"/>
  </rowBreaks>
</worksheet>
</file>

<file path=xl/worksheets/sheet15.xml><?xml version="1.0" encoding="utf-8"?>
<worksheet xmlns="http://schemas.openxmlformats.org/spreadsheetml/2006/main" xmlns:r="http://schemas.openxmlformats.org/officeDocument/2006/relationships">
  <dimension ref="A1:Q1024"/>
  <sheetViews>
    <sheetView view="pageBreakPreview" zoomScaleNormal="70" zoomScaleSheetLayoutView="100" zoomScalePageLayoutView="0" workbookViewId="0" topLeftCell="A1">
      <selection activeCell="A1" sqref="A1:P1"/>
    </sheetView>
  </sheetViews>
  <sheetFormatPr defaultColWidth="8.8515625" defaultRowHeight="12.75"/>
  <cols>
    <col min="1" max="1" width="4.7109375" style="169" customWidth="1"/>
    <col min="2" max="2" width="6.7109375" style="387" customWidth="1"/>
    <col min="3" max="3" width="20.7109375" style="169" customWidth="1"/>
    <col min="4" max="4" width="22.00390625" style="268" customWidth="1"/>
    <col min="5" max="5" width="19.28125" style="169" customWidth="1"/>
    <col min="6" max="8" width="17.7109375" style="169" customWidth="1"/>
    <col min="9" max="9" width="17.7109375" style="481" customWidth="1"/>
    <col min="10" max="10" width="17.7109375" style="169" bestFit="1" customWidth="1"/>
    <col min="11" max="11" width="2.140625" style="153" customWidth="1"/>
    <col min="12" max="12" width="17.7109375" style="308" customWidth="1"/>
    <col min="13" max="13" width="36.421875" style="308" customWidth="1"/>
    <col min="14" max="14" width="17.7109375" style="308" customWidth="1"/>
    <col min="15" max="15" width="23.421875" style="308" customWidth="1"/>
    <col min="16" max="16" width="16.7109375" style="308" customWidth="1"/>
    <col min="17" max="17" width="5.00390625" style="169" customWidth="1"/>
    <col min="18" max="16384" width="8.8515625" style="169" customWidth="1"/>
  </cols>
  <sheetData>
    <row r="1" spans="1:17" ht="15">
      <c r="A1" s="1421" t="str">
        <f>TCOS!$F$3</f>
        <v>AEPTCo subsidiaries in PJM</v>
      </c>
      <c r="B1" s="1421" t="str">
        <f>TCOS!$F$3</f>
        <v>AEPTCo subsidiaries in PJM</v>
      </c>
      <c r="C1" s="1421" t="str">
        <f>TCOS!$F$3</f>
        <v>AEPTCo subsidiaries in PJM</v>
      </c>
      <c r="D1" s="1421" t="str">
        <f>TCOS!$F$3</f>
        <v>AEPTCo subsidiaries in PJM</v>
      </c>
      <c r="E1" s="1421" t="str">
        <f>TCOS!$F$3</f>
        <v>AEPTCo subsidiaries in PJM</v>
      </c>
      <c r="F1" s="1421" t="str">
        <f>TCOS!$F$3</f>
        <v>AEPTCo subsidiaries in PJM</v>
      </c>
      <c r="G1" s="1421" t="str">
        <f>TCOS!$F$3</f>
        <v>AEPTCo subsidiaries in PJM</v>
      </c>
      <c r="H1" s="1421" t="str">
        <f>TCOS!$F$3</f>
        <v>AEPTCo subsidiaries in PJM</v>
      </c>
      <c r="I1" s="1421" t="str">
        <f>TCOS!$F$3</f>
        <v>AEPTCo subsidiaries in PJM</v>
      </c>
      <c r="J1" s="1421" t="str">
        <f>TCOS!$F$3</f>
        <v>AEPTCo subsidiaries in PJM</v>
      </c>
      <c r="K1" s="1421" t="str">
        <f>TCOS!$F$3</f>
        <v>AEPTCo subsidiaries in PJM</v>
      </c>
      <c r="L1" s="1421" t="str">
        <f>TCOS!$F$3</f>
        <v>AEPTCo subsidiaries in PJM</v>
      </c>
      <c r="M1" s="1421" t="str">
        <f>TCOS!$F$3</f>
        <v>AEPTCo subsidiaries in PJM</v>
      </c>
      <c r="N1" s="1421" t="str">
        <f>TCOS!$F$3</f>
        <v>AEPTCo subsidiaries in PJM</v>
      </c>
      <c r="O1" s="1421" t="str">
        <f>TCOS!$F$3</f>
        <v>AEPTCo subsidiaries in PJM</v>
      </c>
      <c r="P1" s="1421" t="str">
        <f>TCOS!$F$3</f>
        <v>AEPTCo subsidiaries in PJM</v>
      </c>
      <c r="Q1" s="153"/>
    </row>
    <row r="2" spans="1:17" ht="15">
      <c r="A2" s="1442" t="str">
        <f>"Cost of Service Formula Rate Using Actual/Projected FF1 Balances"</f>
        <v>Cost of Service Formula Rate Using Actual/Projected FF1 Balances</v>
      </c>
      <c r="B2" s="1442"/>
      <c r="C2" s="1442"/>
      <c r="D2" s="1442"/>
      <c r="E2" s="1442"/>
      <c r="F2" s="1442"/>
      <c r="G2" s="1442"/>
      <c r="H2" s="1442"/>
      <c r="I2" s="1442"/>
      <c r="J2" s="1442"/>
      <c r="K2" s="1442"/>
      <c r="L2" s="1442"/>
      <c r="M2" s="1442"/>
      <c r="N2" s="1442"/>
      <c r="O2" s="1442"/>
      <c r="P2" s="1442"/>
      <c r="Q2" s="153"/>
    </row>
    <row r="3" spans="1:17" ht="15">
      <c r="A3" s="1442" t="s">
        <v>266</v>
      </c>
      <c r="B3" s="1442"/>
      <c r="C3" s="1442"/>
      <c r="D3" s="1442"/>
      <c r="E3" s="1442"/>
      <c r="F3" s="1442"/>
      <c r="G3" s="1442"/>
      <c r="H3" s="1442"/>
      <c r="I3" s="1442"/>
      <c r="J3" s="1442"/>
      <c r="K3" s="1442"/>
      <c r="L3" s="1442"/>
      <c r="M3" s="1442"/>
      <c r="N3" s="1442"/>
      <c r="O3" s="1442"/>
      <c r="P3" s="1442"/>
      <c r="Q3" s="153"/>
    </row>
    <row r="4" spans="1:17" ht="15">
      <c r="A4" s="1443" t="str">
        <f>TCOS!F7</f>
        <v>AEP WEST VIRGINIA TRANSMISSION COMPANY</v>
      </c>
      <c r="B4" s="1443"/>
      <c r="C4" s="1443"/>
      <c r="D4" s="1443"/>
      <c r="E4" s="1443"/>
      <c r="F4" s="1443"/>
      <c r="G4" s="1443"/>
      <c r="H4" s="1443"/>
      <c r="I4" s="1443"/>
      <c r="J4" s="1443"/>
      <c r="K4" s="1443"/>
      <c r="L4" s="1443"/>
      <c r="M4" s="1443"/>
      <c r="N4" s="1443"/>
      <c r="O4" s="1443"/>
      <c r="P4" s="1443"/>
      <c r="Q4" s="153"/>
    </row>
    <row r="5" ht="12.75">
      <c r="Q5" s="153"/>
    </row>
    <row r="6" spans="1:17" ht="20.25">
      <c r="A6" s="645"/>
      <c r="C6" s="387"/>
      <c r="O6" s="646" t="str">
        <f>"Page "&amp;Q6&amp;" of "</f>
        <v>Page 1 of </v>
      </c>
      <c r="P6" s="647">
        <f>COUNT(Q$6:Q$58387)</f>
        <v>12</v>
      </c>
      <c r="Q6" s="648">
        <v>1</v>
      </c>
    </row>
    <row r="7" spans="3:17" ht="18">
      <c r="C7" s="649"/>
      <c r="Q7" s="153"/>
    </row>
    <row r="8" ht="12.75">
      <c r="Q8" s="153"/>
    </row>
    <row r="9" spans="2:17" ht="18">
      <c r="B9" s="650" t="s">
        <v>472</v>
      </c>
      <c r="C9" s="1463" t="str">
        <f>"Calculate Return and Income Taxes with "&amp;F15&amp;" basis point ROE increase for Projects Qualified for Regional Billing."</f>
        <v>Calculate Return and Income Taxes with 0 basis point ROE increase for Projects Qualified for Regional Billing.</v>
      </c>
      <c r="D9" s="1464"/>
      <c r="E9" s="1464"/>
      <c r="F9" s="1464"/>
      <c r="G9" s="1464"/>
      <c r="H9" s="1464"/>
      <c r="I9" s="1464"/>
      <c r="Q9" s="153"/>
    </row>
    <row r="10" spans="3:17" ht="18.75" customHeight="1">
      <c r="C10" s="1464"/>
      <c r="D10" s="1464"/>
      <c r="E10" s="1464"/>
      <c r="F10" s="1464"/>
      <c r="G10" s="1464"/>
      <c r="H10" s="1464"/>
      <c r="I10" s="1464"/>
      <c r="Q10" s="153"/>
    </row>
    <row r="11" spans="3:17" ht="15.75" customHeight="1">
      <c r="C11" s="651"/>
      <c r="D11" s="651"/>
      <c r="E11" s="651"/>
      <c r="F11" s="651"/>
      <c r="G11" s="651"/>
      <c r="H11" s="651"/>
      <c r="I11" s="651"/>
      <c r="Q11" s="153"/>
    </row>
    <row r="12" spans="3:17" ht="15.75">
      <c r="C12" s="652" t="str">
        <f>"A.   Determine 'R' with hypothetical "&amp;F15&amp;" basis point increase in ROE for Identified Projects"</f>
        <v>A.   Determine 'R' with hypothetical 0 basis point increase in ROE for Identified Projects</v>
      </c>
      <c r="D12" s="216"/>
      <c r="Q12" s="153"/>
    </row>
    <row r="13" spans="3:17" ht="12.75">
      <c r="C13" s="205"/>
      <c r="D13" s="216"/>
      <c r="Q13" s="153"/>
    </row>
    <row r="14" spans="3:17" ht="12.75">
      <c r="C14" s="653" t="str">
        <f>"   ROE w/o incentives  (TCOS, ln "&amp;TCOS!B233&amp;")"</f>
        <v>   ROE w/o incentives  (TCOS, ln 138)</v>
      </c>
      <c r="D14" s="216"/>
      <c r="E14" s="654"/>
      <c r="F14" s="806">
        <f>TCOS!J233</f>
        <v>0.1149</v>
      </c>
      <c r="G14" s="806"/>
      <c r="H14" s="654"/>
      <c r="I14" s="656"/>
      <c r="J14" s="656"/>
      <c r="K14" s="657"/>
      <c r="L14" s="656"/>
      <c r="M14" s="656"/>
      <c r="N14" s="656"/>
      <c r="O14" s="656"/>
      <c r="P14" s="656"/>
      <c r="Q14" s="657"/>
    </row>
    <row r="15" spans="3:16" ht="13.5" thickBot="1">
      <c r="C15" s="653" t="s">
        <v>51</v>
      </c>
      <c r="D15" s="216"/>
      <c r="E15" s="654"/>
      <c r="F15" s="797">
        <v>0</v>
      </c>
      <c r="G15" s="654"/>
      <c r="H15" s="654"/>
      <c r="I15" s="656"/>
      <c r="J15" s="656"/>
      <c r="K15" s="657"/>
      <c r="L15" s="656"/>
      <c r="M15" s="656"/>
      <c r="N15" s="656"/>
      <c r="O15" s="656"/>
      <c r="P15" s="656"/>
    </row>
    <row r="16" spans="3:16" ht="12.75">
      <c r="C16" s="653" t="str">
        <f>"   ROE with additional "&amp;F15&amp;" basis point incentive"</f>
        <v>   ROE with additional 0 basis point incentive</v>
      </c>
      <c r="D16" s="654"/>
      <c r="E16" s="654"/>
      <c r="F16" s="659">
        <f>IF((F14+(F15/10000)&gt;0.125),"ERROR",F14+(F15/10000))</f>
        <v>0.1149</v>
      </c>
      <c r="G16" s="660"/>
      <c r="H16" s="654"/>
      <c r="I16" s="656"/>
      <c r="J16" s="656"/>
      <c r="K16" s="657"/>
      <c r="L16" s="807" t="s">
        <v>243</v>
      </c>
      <c r="M16" s="808"/>
      <c r="N16" s="808"/>
      <c r="O16" s="808"/>
      <c r="P16" s="809"/>
    </row>
    <row r="17" spans="3:16" ht="12.75">
      <c r="C17" s="653" t="str">
        <f>"   Determine R  ( cost of long term debt, cost of preferred stock and equity percentage is from the True-Up TCOS, lns "&amp;TCOS!B231&amp;" through "&amp;TCOS!B233&amp;")"</f>
        <v>   Determine R  ( cost of long term debt, cost of preferred stock and equity percentage is from the True-Up TCOS, lns 136 through 138)</v>
      </c>
      <c r="D17" s="216"/>
      <c r="E17" s="654"/>
      <c r="F17" s="661"/>
      <c r="G17" s="661"/>
      <c r="H17" s="654"/>
      <c r="I17" s="656"/>
      <c r="J17" s="656"/>
      <c r="K17" s="657"/>
      <c r="L17" s="810"/>
      <c r="M17" s="657"/>
      <c r="N17" s="657" t="s">
        <v>53</v>
      </c>
      <c r="O17" s="657" t="s">
        <v>54</v>
      </c>
      <c r="P17" s="811" t="s">
        <v>56</v>
      </c>
    </row>
    <row r="18" spans="3:16" ht="12.75">
      <c r="C18" s="657"/>
      <c r="D18" s="662" t="s">
        <v>447</v>
      </c>
      <c r="E18" s="662" t="s">
        <v>446</v>
      </c>
      <c r="F18" s="663" t="s">
        <v>52</v>
      </c>
      <c r="G18" s="663"/>
      <c r="H18" s="654"/>
      <c r="I18" s="656"/>
      <c r="J18" s="656"/>
      <c r="K18" s="657"/>
      <c r="L18" s="810" t="s">
        <v>241</v>
      </c>
      <c r="M18" s="812" t="str">
        <f>+TCOS!O1</f>
        <v> </v>
      </c>
      <c r="N18" s="420"/>
      <c r="O18" s="420"/>
      <c r="P18" s="813"/>
    </row>
    <row r="19" spans="3:16" ht="12.75">
      <c r="C19" s="664" t="s">
        <v>57</v>
      </c>
      <c r="D19" s="814">
        <f>TCOS!H231</f>
        <v>0.49563649294169265</v>
      </c>
      <c r="E19" s="666">
        <f>TCOS!J231</f>
        <v>0.03492202111613876</v>
      </c>
      <c r="F19" s="667">
        <f>E19*D19</f>
        <v>0.017308628072438752</v>
      </c>
      <c r="G19" s="667"/>
      <c r="H19" s="654"/>
      <c r="I19" s="656"/>
      <c r="J19" s="668"/>
      <c r="K19" s="669"/>
      <c r="L19" s="815"/>
      <c r="M19" s="757" t="s">
        <v>242</v>
      </c>
      <c r="N19" s="952">
        <f>+M86+M172+M258+M344+M430+M516+M602+M688+M774+M860+M946</f>
        <v>45414454</v>
      </c>
      <c r="O19" s="952">
        <f>+N86+N172+N258+N344+N430+N516+N602+N688+N774+N860+N946</f>
        <v>45414454</v>
      </c>
      <c r="P19" s="816">
        <f>+O19-N19</f>
        <v>0</v>
      </c>
    </row>
    <row r="20" spans="3:17" ht="13.5" thickBot="1">
      <c r="C20" s="664" t="s">
        <v>58</v>
      </c>
      <c r="D20" s="814">
        <f>TCOS!H232</f>
        <v>0</v>
      </c>
      <c r="E20" s="666">
        <f>TCOS!J232</f>
        <v>0</v>
      </c>
      <c r="F20" s="667">
        <f>E20*D20</f>
        <v>0</v>
      </c>
      <c r="G20" s="667"/>
      <c r="H20" s="670"/>
      <c r="I20" s="670"/>
      <c r="J20" s="671"/>
      <c r="K20" s="672"/>
      <c r="L20" s="815"/>
      <c r="M20" s="757" t="s">
        <v>631</v>
      </c>
      <c r="N20" s="1309">
        <f>+M87+M173+M259+M345+M431+M517+M603+M689+M775+M861+M947</f>
        <v>46078641.21876307</v>
      </c>
      <c r="O20" s="1309">
        <f>+N87+N173+N259+N345+N431+N517+N603+N689+N775+N861+N947</f>
        <v>46078641.21876307</v>
      </c>
      <c r="P20" s="817">
        <f>+O20-N20</f>
        <v>0</v>
      </c>
      <c r="Q20" s="672"/>
    </row>
    <row r="21" spans="3:17" ht="12.75">
      <c r="C21" s="673" t="s">
        <v>30</v>
      </c>
      <c r="D21" s="814">
        <f>TCOS!H233</f>
        <v>0.5043635070583073</v>
      </c>
      <c r="E21" s="666">
        <f>+F16</f>
        <v>0.1149</v>
      </c>
      <c r="F21" s="674">
        <f>E21*D21</f>
        <v>0.05795136696099951</v>
      </c>
      <c r="G21" s="674"/>
      <c r="H21" s="670"/>
      <c r="I21" s="670"/>
      <c r="J21" s="671"/>
      <c r="K21" s="672"/>
      <c r="L21" s="815"/>
      <c r="M21" s="757" t="str">
        <f>"True-up of ARR For "&amp;TCOS!L2&amp;""</f>
        <v>True-up of ARR For 2017</v>
      </c>
      <c r="N21" s="728">
        <f>+N20-N19</f>
        <v>664187.2187630683</v>
      </c>
      <c r="O21" s="728">
        <f>+O20-O19</f>
        <v>664187.2187630683</v>
      </c>
      <c r="P21" s="818">
        <f>+P20-P19</f>
        <v>0</v>
      </c>
      <c r="Q21" s="672"/>
    </row>
    <row r="22" spans="3:17" ht="12.75">
      <c r="C22" s="653"/>
      <c r="D22" s="169"/>
      <c r="E22" s="675" t="s">
        <v>59</v>
      </c>
      <c r="F22" s="667">
        <f>SUM(F19:F21)</f>
        <v>0.07525999503343826</v>
      </c>
      <c r="G22" s="667"/>
      <c r="H22" s="670"/>
      <c r="I22" s="670"/>
      <c r="J22" s="671"/>
      <c r="K22" s="672"/>
      <c r="L22" s="815"/>
      <c r="M22" s="420"/>
      <c r="N22" s="420"/>
      <c r="O22" s="420"/>
      <c r="P22" s="813"/>
      <c r="Q22" s="672"/>
    </row>
    <row r="23" spans="3:17" ht="13.5" thickBot="1">
      <c r="C23" s="205"/>
      <c r="D23" s="680"/>
      <c r="E23" s="680"/>
      <c r="F23" s="670"/>
      <c r="G23" s="670"/>
      <c r="H23" s="670"/>
      <c r="I23" s="670"/>
      <c r="J23" s="670"/>
      <c r="K23" s="681"/>
      <c r="L23" s="819"/>
      <c r="M23" s="820"/>
      <c r="N23" s="821"/>
      <c r="O23" s="821"/>
      <c r="P23" s="817"/>
      <c r="Q23" s="681"/>
    </row>
    <row r="24" spans="3:17" ht="15.75">
      <c r="C24" s="652" t="str">
        <f>"B.   Determine Return using 'R' with hypothetical "&amp;F15&amp;" basis point ROE increase for Identified Projects."</f>
        <v>B.   Determine Return using 'R' with hypothetical 0 basis point ROE increase for Identified Projects.</v>
      </c>
      <c r="D24" s="680"/>
      <c r="E24" s="680"/>
      <c r="F24" s="685"/>
      <c r="G24" s="685"/>
      <c r="H24" s="670"/>
      <c r="I24" s="654"/>
      <c r="J24" s="670"/>
      <c r="K24" s="681"/>
      <c r="L24" s="670"/>
      <c r="M24" s="670"/>
      <c r="N24" s="670"/>
      <c r="O24" s="670"/>
      <c r="P24" s="670"/>
      <c r="Q24" s="681"/>
    </row>
    <row r="25" spans="3:17" ht="12.75">
      <c r="C25" s="657"/>
      <c r="D25" s="680"/>
      <c r="E25" s="680"/>
      <c r="F25" s="681"/>
      <c r="G25" s="681"/>
      <c r="H25" s="681"/>
      <c r="I25" s="681"/>
      <c r="J25" s="681"/>
      <c r="K25" s="681"/>
      <c r="L25" s="681"/>
      <c r="M25" s="681"/>
      <c r="N25" s="681"/>
      <c r="O25" s="681"/>
      <c r="P25" s="681"/>
      <c r="Q25" s="681"/>
    </row>
    <row r="26" spans="3:17" ht="12.75">
      <c r="C26" s="653" t="str">
        <f>"   Rate Base  (True-Up TCOS, ln "&amp;TCOS!B110&amp;")"</f>
        <v>   Rate Base  (True-Up TCOS, ln 58)</v>
      </c>
      <c r="D26" s="654"/>
      <c r="E26" s="691">
        <f>TCOS!L110</f>
        <v>519295015.29499996</v>
      </c>
      <c r="F26" s="822"/>
      <c r="G26" s="822"/>
      <c r="H26" s="681"/>
      <c r="I26" s="681"/>
      <c r="J26" s="681"/>
      <c r="K26" s="681"/>
      <c r="L26" s="681"/>
      <c r="M26" s="681"/>
      <c r="N26" s="681"/>
      <c r="O26" s="681"/>
      <c r="P26" s="822"/>
      <c r="Q26" s="681"/>
    </row>
    <row r="27" spans="3:17" ht="12.75">
      <c r="C27" s="657" t="s">
        <v>61</v>
      </c>
      <c r="D27" s="693"/>
      <c r="E27" s="667">
        <f>F22</f>
        <v>0.07525999503343826</v>
      </c>
      <c r="F27" s="681"/>
      <c r="G27" s="681"/>
      <c r="H27" s="681"/>
      <c r="I27" s="681"/>
      <c r="J27" s="681"/>
      <c r="K27" s="681"/>
      <c r="L27" s="681"/>
      <c r="M27" s="681"/>
      <c r="N27" s="681"/>
      <c r="O27" s="681"/>
      <c r="P27" s="681"/>
      <c r="Q27" s="681"/>
    </row>
    <row r="28" spans="3:17" ht="12.75">
      <c r="C28" s="694" t="s">
        <v>62</v>
      </c>
      <c r="D28" s="694"/>
      <c r="E28" s="671">
        <f>E26*E27</f>
        <v>39082140.27199094</v>
      </c>
      <c r="F28" s="681"/>
      <c r="G28" s="681"/>
      <c r="H28" s="681"/>
      <c r="I28" s="681"/>
      <c r="J28" s="672"/>
      <c r="K28" s="672"/>
      <c r="L28" s="672"/>
      <c r="M28" s="672"/>
      <c r="N28" s="672"/>
      <c r="O28" s="672"/>
      <c r="P28" s="681"/>
      <c r="Q28" s="672"/>
    </row>
    <row r="29" spans="3:17" ht="12.75">
      <c r="C29" s="695"/>
      <c r="D29" s="656"/>
      <c r="E29" s="656"/>
      <c r="F29" s="681"/>
      <c r="G29" s="681"/>
      <c r="H29" s="681"/>
      <c r="I29" s="681"/>
      <c r="J29" s="672"/>
      <c r="K29" s="672"/>
      <c r="L29" s="672"/>
      <c r="M29" s="672"/>
      <c r="N29" s="672"/>
      <c r="O29" s="672"/>
      <c r="P29" s="681"/>
      <c r="Q29" s="672"/>
    </row>
    <row r="30" spans="3:17" ht="15.75">
      <c r="C30" s="652" t="str">
        <f>"C.   Determine Income Taxes using Return with hypothetical "&amp;F15&amp;" basis point ROE increase for Identified Projects."</f>
        <v>C.   Determine Income Taxes using Return with hypothetical 0 basis point ROE increase for Identified Projects.</v>
      </c>
      <c r="D30" s="696"/>
      <c r="E30" s="696"/>
      <c r="F30" s="697"/>
      <c r="G30" s="697"/>
      <c r="H30" s="697"/>
      <c r="I30" s="697"/>
      <c r="J30" s="698"/>
      <c r="K30" s="698"/>
      <c r="L30" s="698"/>
      <c r="M30" s="698"/>
      <c r="N30" s="698"/>
      <c r="O30" s="698"/>
      <c r="P30" s="697"/>
      <c r="Q30" s="698"/>
    </row>
    <row r="31" spans="3:17" ht="12.75">
      <c r="C31" s="653"/>
      <c r="D31" s="656"/>
      <c r="E31" s="656"/>
      <c r="F31" s="681"/>
      <c r="G31" s="681"/>
      <c r="H31" s="681"/>
      <c r="I31" s="681"/>
      <c r="J31" s="672"/>
      <c r="K31" s="672"/>
      <c r="L31" s="672"/>
      <c r="M31" s="672"/>
      <c r="N31" s="672"/>
      <c r="O31" s="672"/>
      <c r="P31" s="681"/>
      <c r="Q31" s="672"/>
    </row>
    <row r="32" spans="3:17" ht="12.75">
      <c r="C32" s="657" t="s">
        <v>63</v>
      </c>
      <c r="D32" s="675"/>
      <c r="E32" s="699">
        <f>E28</f>
        <v>39082140.27199094</v>
      </c>
      <c r="F32" s="681"/>
      <c r="G32" s="681"/>
      <c r="H32" s="681"/>
      <c r="I32" s="681"/>
      <c r="J32" s="681"/>
      <c r="K32" s="681"/>
      <c r="L32" s="681"/>
      <c r="M32" s="681"/>
      <c r="N32" s="681"/>
      <c r="O32" s="681"/>
      <c r="P32" s="681"/>
      <c r="Q32" s="681"/>
    </row>
    <row r="33" spans="3:17" ht="12.75">
      <c r="C33" s="653" t="str">
        <f>"   Effective Tax Rate  (TCOS, ln "&amp;TCOS!B168&amp;")"</f>
        <v>   Effective Tax Rate  (TCOS, ln 97)</v>
      </c>
      <c r="D33" s="532"/>
      <c r="E33" s="700">
        <f>TCOS!G168</f>
        <v>0.4969783661924917</v>
      </c>
      <c r="F33" s="308"/>
      <c r="G33" s="308"/>
      <c r="H33" s="308"/>
      <c r="I33" s="701"/>
      <c r="J33" s="308"/>
      <c r="K33" s="420"/>
      <c r="Q33" s="420"/>
    </row>
    <row r="34" spans="3:17" ht="12.75">
      <c r="C34" s="695" t="s">
        <v>64</v>
      </c>
      <c r="D34" s="532"/>
      <c r="E34" s="702">
        <f>E32*E33</f>
        <v>19422978.21967984</v>
      </c>
      <c r="F34" s="308"/>
      <c r="G34" s="308"/>
      <c r="H34" s="308"/>
      <c r="I34" s="701"/>
      <c r="J34" s="308"/>
      <c r="K34" s="420"/>
      <c r="Q34" s="420"/>
    </row>
    <row r="35" spans="3:17" ht="15">
      <c r="C35" s="653" t="s">
        <v>106</v>
      </c>
      <c r="D35" s="320"/>
      <c r="E35" s="703">
        <f>TCOS!L176</f>
        <v>0</v>
      </c>
      <c r="F35" s="320"/>
      <c r="G35" s="320"/>
      <c r="H35" s="320"/>
      <c r="I35" s="320"/>
      <c r="J35" s="320"/>
      <c r="K35" s="320"/>
      <c r="L35" s="320"/>
      <c r="M35" s="320"/>
      <c r="N35" s="320"/>
      <c r="O35" s="320"/>
      <c r="P35" s="227"/>
      <c r="Q35" s="320"/>
    </row>
    <row r="36" spans="3:17" ht="15">
      <c r="C36" s="653" t="s">
        <v>562</v>
      </c>
      <c r="D36" s="320"/>
      <c r="E36" s="703">
        <f>TCOS!L177</f>
        <v>0</v>
      </c>
      <c r="F36" s="320"/>
      <c r="G36" s="320"/>
      <c r="H36" s="320"/>
      <c r="I36" s="320"/>
      <c r="J36" s="320"/>
      <c r="K36" s="320"/>
      <c r="L36" s="320"/>
      <c r="M36" s="320"/>
      <c r="N36" s="320"/>
      <c r="O36" s="320"/>
      <c r="P36" s="227"/>
      <c r="Q36" s="320"/>
    </row>
    <row r="37" spans="3:17" ht="15">
      <c r="C37" s="653" t="s">
        <v>564</v>
      </c>
      <c r="D37" s="320"/>
      <c r="E37" s="823">
        <f>TCOS!L178</f>
        <v>222295.3517071164</v>
      </c>
      <c r="F37" s="320"/>
      <c r="G37" s="320"/>
      <c r="H37" s="320"/>
      <c r="I37" s="320"/>
      <c r="J37" s="320"/>
      <c r="K37" s="320"/>
      <c r="L37" s="320"/>
      <c r="M37" s="320"/>
      <c r="N37" s="320"/>
      <c r="O37" s="320"/>
      <c r="P37" s="227"/>
      <c r="Q37" s="320"/>
    </row>
    <row r="38" spans="3:17" ht="15">
      <c r="C38" s="695" t="s">
        <v>65</v>
      </c>
      <c r="D38" s="320"/>
      <c r="E38" s="703">
        <f>E34+E35+E36+E37</f>
        <v>19645273.571386956</v>
      </c>
      <c r="F38" s="320"/>
      <c r="G38" s="320"/>
      <c r="H38" s="320"/>
      <c r="I38" s="320"/>
      <c r="J38" s="320"/>
      <c r="K38" s="320"/>
      <c r="L38" s="320"/>
      <c r="M38" s="320"/>
      <c r="N38" s="320"/>
      <c r="O38" s="320"/>
      <c r="P38" s="185"/>
      <c r="Q38" s="320"/>
    </row>
    <row r="39" spans="3:17" ht="12.75" customHeight="1">
      <c r="C39" s="236"/>
      <c r="D39" s="320"/>
      <c r="E39" s="320"/>
      <c r="F39" s="320"/>
      <c r="G39" s="320"/>
      <c r="H39" s="320"/>
      <c r="I39" s="320"/>
      <c r="J39" s="320"/>
      <c r="K39" s="320"/>
      <c r="L39" s="320"/>
      <c r="M39" s="320"/>
      <c r="N39" s="320"/>
      <c r="O39" s="320"/>
      <c r="P39" s="185"/>
      <c r="Q39" s="320"/>
    </row>
    <row r="40" spans="2:17" ht="18.75">
      <c r="B40" s="650" t="s">
        <v>473</v>
      </c>
      <c r="C40" s="649" t="str">
        <f>"Calculate Net Plant Carrying Charge Rate (Fixed Charge Rate or FCR) with hypothetical "&amp;F15&amp;""</f>
        <v>Calculate Net Plant Carrying Charge Rate (Fixed Charge Rate or FCR) with hypothetical 0</v>
      </c>
      <c r="D40" s="320"/>
      <c r="E40" s="320"/>
      <c r="F40" s="320"/>
      <c r="G40" s="320"/>
      <c r="H40" s="320"/>
      <c r="I40" s="320"/>
      <c r="J40" s="320"/>
      <c r="K40" s="320"/>
      <c r="L40" s="320"/>
      <c r="M40" s="320"/>
      <c r="N40" s="320"/>
      <c r="O40" s="320"/>
      <c r="P40" s="185"/>
      <c r="Q40" s="320"/>
    </row>
    <row r="41" spans="3:17" ht="18.75" customHeight="1">
      <c r="C41" s="649" t="str">
        <f>"basis point ROE increase."</f>
        <v>basis point ROE increase.</v>
      </c>
      <c r="D41" s="320"/>
      <c r="E41" s="320"/>
      <c r="F41" s="320"/>
      <c r="G41" s="320"/>
      <c r="H41" s="320"/>
      <c r="I41" s="320"/>
      <c r="J41" s="320"/>
      <c r="K41" s="320"/>
      <c r="L41" s="320"/>
      <c r="M41" s="320"/>
      <c r="N41" s="320"/>
      <c r="O41" s="320"/>
      <c r="P41" s="185"/>
      <c r="Q41" s="320"/>
    </row>
    <row r="42" spans="3:17" ht="12.75" customHeight="1">
      <c r="C42" s="649"/>
      <c r="D42" s="320"/>
      <c r="E42" s="320"/>
      <c r="F42" s="320"/>
      <c r="G42" s="320"/>
      <c r="H42" s="320"/>
      <c r="I42" s="320"/>
      <c r="J42" s="320"/>
      <c r="K42" s="320"/>
      <c r="L42" s="320"/>
      <c r="M42" s="320"/>
      <c r="N42" s="320"/>
      <c r="O42" s="320"/>
      <c r="P42" s="185"/>
      <c r="Q42" s="320"/>
    </row>
    <row r="43" spans="3:17" ht="15.75">
      <c r="C43" s="652" t="s">
        <v>262</v>
      </c>
      <c r="D43" s="320"/>
      <c r="E43" s="320"/>
      <c r="F43" s="319"/>
      <c r="G43" s="319"/>
      <c r="H43" s="320"/>
      <c r="I43" s="320"/>
      <c r="J43" s="320"/>
      <c r="K43" s="320"/>
      <c r="L43" s="320"/>
      <c r="M43" s="320"/>
      <c r="N43" s="320"/>
      <c r="O43" s="320"/>
      <c r="P43" s="185"/>
      <c r="Q43" s="320"/>
    </row>
    <row r="44" spans="2:17" ht="12.75">
      <c r="B44" s="341"/>
      <c r="C44" s="705"/>
      <c r="D44" s="706"/>
      <c r="E44" s="706"/>
      <c r="F44" s="706"/>
      <c r="G44" s="706"/>
      <c r="H44" s="706"/>
      <c r="I44" s="706"/>
      <c r="J44" s="706"/>
      <c r="K44" s="706"/>
      <c r="L44" s="706"/>
      <c r="M44" s="706"/>
      <c r="N44" s="706"/>
      <c r="O44" s="706"/>
      <c r="P44" s="703"/>
      <c r="Q44" s="706"/>
    </row>
    <row r="45" spans="2:17" ht="12.75" customHeight="1">
      <c r="B45" s="341"/>
      <c r="C45" s="653" t="str">
        <f>"   Annual Revenue Requirement  (TCOS, ln "&amp;TCOS!B11&amp;")"</f>
        <v>   Annual Revenue Requirement  (TCOS, ln 1)</v>
      </c>
      <c r="D45" s="706"/>
      <c r="E45" s="706"/>
      <c r="F45" s="703">
        <f>TCOS!L11</f>
        <v>83050622.25153789</v>
      </c>
      <c r="G45" s="703"/>
      <c r="H45" s="824" t="s">
        <v>417</v>
      </c>
      <c r="I45" s="706"/>
      <c r="J45" s="706"/>
      <c r="K45" s="706"/>
      <c r="L45" s="706"/>
      <c r="M45" s="706"/>
      <c r="N45" s="706"/>
      <c r="O45" s="706"/>
      <c r="P45" s="703"/>
      <c r="Q45" s="706"/>
    </row>
    <row r="46" spans="2:17" ht="12.75" customHeight="1">
      <c r="B46" s="341"/>
      <c r="C46" s="1392" t="str">
        <f>"   Lease Payments (TCOS, Lns "&amp;TCOS!B148&amp;")"</f>
        <v>   Lease Payments (TCOS, Lns 80)</v>
      </c>
      <c r="D46" s="1393"/>
      <c r="E46" s="706"/>
      <c r="F46" s="703">
        <f>TCOS!L148</f>
        <v>0</v>
      </c>
      <c r="G46" s="703"/>
      <c r="H46" s="824"/>
      <c r="I46" s="706"/>
      <c r="J46" s="706"/>
      <c r="K46" s="706"/>
      <c r="L46" s="706"/>
      <c r="M46" s="706"/>
      <c r="N46" s="706"/>
      <c r="O46" s="706"/>
      <c r="P46" s="703"/>
      <c r="Q46" s="706"/>
    </row>
    <row r="47" spans="2:17" ht="12.75">
      <c r="B47" s="341"/>
      <c r="C47" s="1392" t="str">
        <f>"   Return  (TCOS, ln "&amp;TCOS!B181&amp;")"</f>
        <v>   Return  (TCOS, ln 109)</v>
      </c>
      <c r="D47" s="1393"/>
      <c r="E47" s="706"/>
      <c r="F47" s="707">
        <f>TCOS!L181</f>
        <v>39082140.27199094</v>
      </c>
      <c r="G47" s="707"/>
      <c r="H47" s="708"/>
      <c r="I47" s="708"/>
      <c r="J47" s="708"/>
      <c r="K47" s="708"/>
      <c r="L47" s="708"/>
      <c r="M47" s="708"/>
      <c r="N47" s="708"/>
      <c r="O47" s="708"/>
      <c r="P47" s="703"/>
      <c r="Q47" s="708"/>
    </row>
    <row r="48" spans="2:17" ht="12.75">
      <c r="B48" s="341"/>
      <c r="C48" s="1392" t="str">
        <f>"   Income Taxes  (TCOS, ln "&amp;TCOS!B179&amp;")"</f>
        <v>   Income Taxes  (TCOS, ln 108)</v>
      </c>
      <c r="D48" s="1393"/>
      <c r="E48" s="706"/>
      <c r="F48" s="709">
        <f>TCOS!L179</f>
        <v>19645273.571386956</v>
      </c>
      <c r="G48" s="709"/>
      <c r="H48" s="706"/>
      <c r="I48" s="706"/>
      <c r="J48" s="710"/>
      <c r="K48" s="710"/>
      <c r="L48" s="710"/>
      <c r="M48" s="710"/>
      <c r="N48" s="710"/>
      <c r="O48" s="710"/>
      <c r="P48" s="706"/>
      <c r="Q48" s="710"/>
    </row>
    <row r="49" spans="2:17" ht="12.75">
      <c r="B49" s="341"/>
      <c r="C49" s="1474" t="s">
        <v>632</v>
      </c>
      <c r="D49" s="1475"/>
      <c r="E49" s="706"/>
      <c r="F49" s="707">
        <f>F45-F47-F48-F46</f>
        <v>24323208.408159994</v>
      </c>
      <c r="G49" s="707"/>
      <c r="H49" s="711"/>
      <c r="I49" s="706"/>
      <c r="J49" s="711"/>
      <c r="K49" s="711"/>
      <c r="L49" s="711"/>
      <c r="M49" s="711"/>
      <c r="N49" s="711"/>
      <c r="O49" s="711"/>
      <c r="P49" s="711"/>
      <c r="Q49" s="711"/>
    </row>
    <row r="50" spans="2:17" ht="12.75">
      <c r="B50" s="341"/>
      <c r="C50" s="1475"/>
      <c r="D50" s="1475"/>
      <c r="E50" s="706"/>
      <c r="F50" s="703"/>
      <c r="G50" s="703"/>
      <c r="H50" s="712"/>
      <c r="I50" s="713"/>
      <c r="J50" s="713"/>
      <c r="K50" s="713"/>
      <c r="L50" s="713"/>
      <c r="M50" s="713"/>
      <c r="N50" s="713"/>
      <c r="O50" s="713"/>
      <c r="P50" s="713"/>
      <c r="Q50" s="713"/>
    </row>
    <row r="51" spans="2:17" ht="15.75">
      <c r="B51" s="341"/>
      <c r="C51" s="1394" t="str">
        <f>"B.   Determine Annual Revenue Requirement with hypothetical "&amp;F15&amp;" basis point increase in ROE."</f>
        <v>B.   Determine Annual Revenue Requirement with hypothetical 0 basis point increase in ROE.</v>
      </c>
      <c r="D51" s="1395"/>
      <c r="E51" s="714"/>
      <c r="F51" s="703"/>
      <c r="G51" s="703"/>
      <c r="H51" s="712"/>
      <c r="I51" s="713"/>
      <c r="J51" s="713"/>
      <c r="K51" s="713"/>
      <c r="L51" s="713"/>
      <c r="M51" s="713"/>
      <c r="N51" s="713"/>
      <c r="O51" s="713"/>
      <c r="P51" s="713"/>
      <c r="Q51" s="713"/>
    </row>
    <row r="52" spans="2:17" ht="12.75">
      <c r="B52" s="341"/>
      <c r="C52" s="1392"/>
      <c r="D52" s="1395"/>
      <c r="E52" s="714"/>
      <c r="F52" s="703"/>
      <c r="G52" s="703"/>
      <c r="H52" s="712"/>
      <c r="I52" s="713"/>
      <c r="J52" s="713"/>
      <c r="K52" s="713"/>
      <c r="L52" s="713"/>
      <c r="M52" s="713"/>
      <c r="N52" s="713"/>
      <c r="O52" s="713"/>
      <c r="P52" s="713"/>
      <c r="Q52" s="713"/>
    </row>
    <row r="53" spans="2:17" ht="12.75">
      <c r="B53" s="341"/>
      <c r="C53" s="1392" t="str">
        <f>C49</f>
        <v>   Annual Revenue Requirement, Less Lease Payments, Return and Taxes</v>
      </c>
      <c r="D53" s="1395"/>
      <c r="E53" s="714"/>
      <c r="F53" s="703">
        <f>F49</f>
        <v>24323208.408159994</v>
      </c>
      <c r="G53" s="703"/>
      <c r="H53" s="706"/>
      <c r="I53" s="706"/>
      <c r="J53" s="706"/>
      <c r="K53" s="706"/>
      <c r="L53" s="706"/>
      <c r="M53" s="706"/>
      <c r="N53" s="706"/>
      <c r="O53" s="706"/>
      <c r="P53" s="715"/>
      <c r="Q53" s="706"/>
    </row>
    <row r="54" spans="2:17" ht="12.75">
      <c r="B54" s="341"/>
      <c r="C54" s="657" t="s">
        <v>103</v>
      </c>
      <c r="D54" s="716"/>
      <c r="E54" s="717"/>
      <c r="F54" s="718">
        <f>E28</f>
        <v>39082140.27199094</v>
      </c>
      <c r="G54" s="718"/>
      <c r="H54" s="717"/>
      <c r="I54" s="825"/>
      <c r="J54" s="717"/>
      <c r="K54" s="717"/>
      <c r="L54" s="717"/>
      <c r="M54" s="717"/>
      <c r="N54" s="717"/>
      <c r="O54" s="717"/>
      <c r="P54" s="717"/>
      <c r="Q54" s="717"/>
    </row>
    <row r="55" spans="2:17" ht="12.75" customHeight="1">
      <c r="B55" s="341"/>
      <c r="C55" s="653" t="s">
        <v>71</v>
      </c>
      <c r="D55" s="706"/>
      <c r="E55" s="706"/>
      <c r="F55" s="709">
        <f>E38</f>
        <v>19645273.571386956</v>
      </c>
      <c r="G55" s="709"/>
      <c r="H55" s="308"/>
      <c r="I55" s="701"/>
      <c r="J55" s="308"/>
      <c r="K55" s="420"/>
      <c r="Q55" s="420"/>
    </row>
    <row r="56" spans="2:17" ht="12.75">
      <c r="B56" s="341"/>
      <c r="C56" s="717" t="str">
        <f>"   Annual Revenue Requirement, with "&amp;F15&amp;" Basis Point ROE increase"</f>
        <v>   Annual Revenue Requirement, with 0 Basis Point ROE increase</v>
      </c>
      <c r="D56" s="532"/>
      <c r="E56" s="308"/>
      <c r="F56" s="702">
        <f>SUM(F53:F55)</f>
        <v>83050622.25153789</v>
      </c>
      <c r="G56" s="702"/>
      <c r="H56" s="308"/>
      <c r="I56" s="701"/>
      <c r="J56" s="308"/>
      <c r="K56" s="420"/>
      <c r="Q56" s="420"/>
    </row>
    <row r="57" spans="2:17" ht="12.75">
      <c r="B57" s="341"/>
      <c r="C57" s="653" t="str">
        <f>"   Depreciation  (TCOS, ln "&amp;TCOS!B152&amp;")"</f>
        <v>   Depreciation  (TCOS, ln 83)</v>
      </c>
      <c r="D57" s="532"/>
      <c r="E57" s="308"/>
      <c r="F57" s="719">
        <f>TCOS!L152</f>
        <v>10458519</v>
      </c>
      <c r="G57" s="719"/>
      <c r="H57" s="702"/>
      <c r="I57" s="701"/>
      <c r="J57" s="308"/>
      <c r="K57" s="420"/>
      <c r="Q57" s="420"/>
    </row>
    <row r="58" spans="2:17" ht="12.75">
      <c r="B58" s="341"/>
      <c r="C58" s="1476" t="str">
        <f>"   Annual Rev. Req, w/ "&amp;F15&amp;" Basis Point ROE increase, less Depreciation"</f>
        <v>   Annual Rev. Req, w/ 0 Basis Point ROE increase, less Depreciation</v>
      </c>
      <c r="D58" s="1464"/>
      <c r="E58" s="308"/>
      <c r="F58" s="702">
        <f>F56-F57</f>
        <v>72592103.25153789</v>
      </c>
      <c r="G58" s="702"/>
      <c r="H58" s="308"/>
      <c r="I58" s="701"/>
      <c r="J58" s="308"/>
      <c r="K58" s="420"/>
      <c r="Q58" s="420"/>
    </row>
    <row r="59" spans="2:17" ht="12.75">
      <c r="B59" s="341"/>
      <c r="C59" s="1464"/>
      <c r="D59" s="1464"/>
      <c r="E59" s="308"/>
      <c r="F59" s="308"/>
      <c r="G59" s="308"/>
      <c r="H59" s="308"/>
      <c r="I59" s="701"/>
      <c r="J59" s="308"/>
      <c r="K59" s="420"/>
      <c r="Q59" s="420"/>
    </row>
    <row r="60" spans="2:17" ht="15.75">
      <c r="B60" s="341"/>
      <c r="C60" s="652" t="str">
        <f>"C.   Determine FCR with hypothetical "&amp;F15&amp;" basis point ROE increase."</f>
        <v>C.   Determine FCR with hypothetical 0 basis point ROE increase.</v>
      </c>
      <c r="D60" s="532"/>
      <c r="E60" s="308"/>
      <c r="F60" s="308"/>
      <c r="G60" s="308"/>
      <c r="H60" s="308"/>
      <c r="I60" s="701"/>
      <c r="J60" s="308"/>
      <c r="K60" s="420"/>
      <c r="Q60" s="420"/>
    </row>
    <row r="61" spans="2:17" ht="12.75">
      <c r="B61" s="341"/>
      <c r="C61" s="308"/>
      <c r="D61" s="532"/>
      <c r="E61" s="308"/>
      <c r="F61" s="308"/>
      <c r="G61" s="308"/>
      <c r="H61" s="308"/>
      <c r="I61" s="701"/>
      <c r="J61" s="308"/>
      <c r="K61" s="420"/>
      <c r="Q61" s="420"/>
    </row>
    <row r="62" spans="2:17" ht="12.75">
      <c r="B62" s="341"/>
      <c r="C62" s="653" t="str">
        <f>"   Net Transmission Plant  (Projected TCOS, ln "&amp;TCOS!B77&amp;")"</f>
        <v>   Net Transmission Plant  (Projected TCOS, ln 33)</v>
      </c>
      <c r="D62" s="532"/>
      <c r="E62" s="308"/>
      <c r="F62" s="702">
        <f>TCOS!L77</f>
        <v>651791215.5</v>
      </c>
      <c r="G62" s="702"/>
      <c r="H62" s="702"/>
      <c r="I62" s="826"/>
      <c r="J62" s="308"/>
      <c r="K62" s="420"/>
      <c r="Q62" s="420"/>
    </row>
    <row r="63" spans="2:17" ht="12.75">
      <c r="B63" s="341"/>
      <c r="C63" s="717" t="str">
        <f>"   Annual Revenue Requirement, with "&amp;F15&amp;" Basis Point ROE increase"</f>
        <v>   Annual Revenue Requirement, with 0 Basis Point ROE increase</v>
      </c>
      <c r="D63" s="532"/>
      <c r="E63" s="308"/>
      <c r="F63" s="702">
        <f>F56</f>
        <v>83050622.25153789</v>
      </c>
      <c r="G63" s="702"/>
      <c r="H63" s="308"/>
      <c r="I63" s="701"/>
      <c r="J63" s="308"/>
      <c r="K63" s="420"/>
      <c r="Q63" s="420"/>
    </row>
    <row r="64" spans="2:17" ht="12.75">
      <c r="B64" s="341"/>
      <c r="C64" s="717" t="str">
        <f>"   FCR with "&amp;F15&amp;" Basis Point increase in ROE"</f>
        <v>   FCR with 0 Basis Point increase in ROE</v>
      </c>
      <c r="D64" s="532"/>
      <c r="E64" s="308"/>
      <c r="F64" s="700">
        <f>IF(F62=0,0,F63/F62)</f>
        <v>0.1274190573247115</v>
      </c>
      <c r="G64" s="700"/>
      <c r="H64" s="700"/>
      <c r="I64" s="701"/>
      <c r="J64" s="308"/>
      <c r="K64" s="420"/>
      <c r="Q64" s="420"/>
    </row>
    <row r="65" spans="2:17" ht="12.75">
      <c r="B65" s="341"/>
      <c r="C65" s="205"/>
      <c r="D65" s="532"/>
      <c r="E65" s="308"/>
      <c r="F65" s="341"/>
      <c r="G65" s="341"/>
      <c r="H65" s="308"/>
      <c r="I65" s="701"/>
      <c r="J65" s="308"/>
      <c r="K65" s="420"/>
      <c r="Q65" s="420"/>
    </row>
    <row r="66" spans="2:17" ht="12.75">
      <c r="B66" s="341"/>
      <c r="C66" s="717" t="str">
        <f>"   Annual Rev. Req, w / "&amp;F15&amp;" Basis Point ROE increase, less Dep."</f>
        <v>   Annual Rev. Req, w / 0 Basis Point ROE increase, less Dep.</v>
      </c>
      <c r="D66" s="532"/>
      <c r="E66" s="308"/>
      <c r="F66" s="702">
        <f>F58</f>
        <v>72592103.25153789</v>
      </c>
      <c r="G66" s="702"/>
      <c r="H66" s="308"/>
      <c r="I66" s="701"/>
      <c r="J66" s="308"/>
      <c r="K66" s="420"/>
      <c r="Q66" s="420"/>
    </row>
    <row r="67" spans="2:17" ht="12.75">
      <c r="B67" s="341"/>
      <c r="C67" s="717" t="str">
        <f>"   FCR with "&amp;F15&amp;" Basis Point ROE increase, less Depreciation"</f>
        <v>   FCR with 0 Basis Point ROE increase, less Depreciation</v>
      </c>
      <c r="D67" s="532"/>
      <c r="E67" s="308"/>
      <c r="F67" s="700">
        <f>IF(F66=0,0,F66/F62)</f>
        <v>0.11137324579597359</v>
      </c>
      <c r="G67" s="700"/>
      <c r="H67" s="308"/>
      <c r="I67" s="701"/>
      <c r="J67" s="308"/>
      <c r="K67" s="420"/>
      <c r="Q67" s="420"/>
    </row>
    <row r="68" spans="2:17" ht="12.75">
      <c r="B68" s="341"/>
      <c r="C68" s="653" t="str">
        <f>"   FCR less Depreciation  (TCOS, ln "&amp;TCOS!B29&amp;")"</f>
        <v>   FCR less Depreciation  (TCOS, ln 10)</v>
      </c>
      <c r="D68" s="532"/>
      <c r="E68" s="308"/>
      <c r="F68" s="721">
        <f>TCOS!L29</f>
        <v>0.11137324579597359</v>
      </c>
      <c r="G68" s="721"/>
      <c r="H68" s="308"/>
      <c r="I68" s="701"/>
      <c r="J68" s="308"/>
      <c r="K68" s="420"/>
      <c r="Q68" s="420"/>
    </row>
    <row r="69" spans="2:17" ht="12.75">
      <c r="B69" s="341"/>
      <c r="C69" s="1476" t="str">
        <f>"   Incremental FCR with "&amp;F15&amp;" Basis Point ROE increase, less Depreciation"</f>
        <v>   Incremental FCR with 0 Basis Point ROE increase, less Depreciation</v>
      </c>
      <c r="D69" s="1464"/>
      <c r="E69" s="308"/>
      <c r="F69" s="700">
        <f>F67-F68</f>
        <v>0</v>
      </c>
      <c r="G69" s="700"/>
      <c r="H69" s="308"/>
      <c r="I69" s="701"/>
      <c r="J69" s="308"/>
      <c r="K69" s="420"/>
      <c r="Q69" s="420"/>
    </row>
    <row r="70" spans="2:17" ht="12.75">
      <c r="B70" s="341"/>
      <c r="C70" s="1464"/>
      <c r="D70" s="1464"/>
      <c r="E70" s="308"/>
      <c r="F70" s="700"/>
      <c r="G70" s="700"/>
      <c r="H70" s="308"/>
      <c r="I70" s="701"/>
      <c r="J70" s="308"/>
      <c r="K70" s="420"/>
      <c r="Q70" s="420"/>
    </row>
    <row r="71" spans="2:17" ht="18.75">
      <c r="B71" s="650" t="s">
        <v>474</v>
      </c>
      <c r="C71" s="649" t="s">
        <v>72</v>
      </c>
      <c r="D71" s="532"/>
      <c r="E71" s="308"/>
      <c r="F71" s="700"/>
      <c r="G71" s="700"/>
      <c r="H71" s="308"/>
      <c r="I71" s="701"/>
      <c r="J71" s="308"/>
      <c r="K71" s="420"/>
      <c r="Q71" s="420"/>
    </row>
    <row r="72" spans="2:17" ht="12.75">
      <c r="B72" s="341"/>
      <c r="C72" s="717"/>
      <c r="D72" s="532"/>
      <c r="E72" s="308"/>
      <c r="F72" s="700"/>
      <c r="G72" s="700"/>
      <c r="H72" s="308"/>
      <c r="I72" s="701"/>
      <c r="J72" s="308"/>
      <c r="K72" s="420"/>
      <c r="Q72" s="420"/>
    </row>
    <row r="73" spans="2:17" ht="12.75">
      <c r="B73" s="341"/>
      <c r="C73" s="717" t="str">
        <f>+"Average Transmission Plant Balance for "&amp;TCOS!L2&amp;" TCOS, ln "&amp;TCOS!B61</f>
        <v>Average Transmission Plant Balance for 2017 TCOS, ln 19</v>
      </c>
      <c r="D73" s="532"/>
      <c r="E73" s="308"/>
      <c r="F73" s="308"/>
      <c r="G73" s="308"/>
      <c r="H73" s="701">
        <f>TCOS!L61</f>
        <v>667559369.5</v>
      </c>
      <c r="J73" s="308"/>
      <c r="K73" s="420"/>
      <c r="Q73" s="420"/>
    </row>
    <row r="74" spans="2:17" ht="12.75">
      <c r="B74" s="341"/>
      <c r="C74" s="717" t="str">
        <f>"Annual Depreciation and Amortization Expense (TCOS, ln "&amp;TCOS!B152&amp;")"</f>
        <v>Annual Depreciation and Amortization Expense (TCOS, ln 83)</v>
      </c>
      <c r="D74" s="532"/>
      <c r="E74" s="308"/>
      <c r="H74" s="483">
        <f>TCOS!L152</f>
        <v>10458519</v>
      </c>
      <c r="I74" s="701"/>
      <c r="J74" s="308"/>
      <c r="K74" s="420"/>
      <c r="Q74" s="420"/>
    </row>
    <row r="75" spans="2:17" ht="12.75">
      <c r="B75" s="341"/>
      <c r="C75" s="717" t="s">
        <v>73</v>
      </c>
      <c r="D75" s="532"/>
      <c r="E75" s="308"/>
      <c r="H75" s="895">
        <f>H74/H73</f>
        <v>0.015666799805137032</v>
      </c>
      <c r="I75" s="723"/>
      <c r="J75" s="1465" t="str">
        <f>"Note 1:  Until "&amp;A4&amp;" establishes Transmission plant in service the depreciation expense component of the carrying charge will be calculated as in the Operating Company formula approved in Docket No. ER08-1329.  The calculation for "&amp;A4&amp;" is shown on Worksheet P."</f>
        <v>Note 1:  Until AEP WEST VIRGINIA TRANSMISSION COMPANY establishes Transmission plant in service the depreciation expense component of the carrying charge will be calculated as in the Operating Company formula approved in Docket No. ER08-1329.  The calculation for AEP WEST VIRGINIA TRANSMISSION COMPANY is shown on Worksheet P.</v>
      </c>
      <c r="K75" s="1465"/>
      <c r="L75" s="1465"/>
      <c r="M75" s="1465"/>
      <c r="N75" s="1465"/>
      <c r="O75" s="1465"/>
      <c r="P75" s="1465"/>
      <c r="Q75" s="651"/>
    </row>
    <row r="76" spans="2:17" ht="12.75">
      <c r="B76" s="341"/>
      <c r="C76" s="717" t="s">
        <v>74</v>
      </c>
      <c r="D76" s="532"/>
      <c r="E76" s="308"/>
      <c r="H76" s="724">
        <f>IF(H75=0,0,1/H75)</f>
        <v>63.829244800339325</v>
      </c>
      <c r="I76" s="701"/>
      <c r="J76" s="1465"/>
      <c r="K76" s="1465"/>
      <c r="L76" s="1465"/>
      <c r="M76" s="1465"/>
      <c r="N76" s="1465"/>
      <c r="O76" s="1465"/>
      <c r="P76" s="1465"/>
      <c r="Q76" s="651"/>
    </row>
    <row r="77" spans="2:17" ht="12.75">
      <c r="B77" s="341"/>
      <c r="C77" s="717" t="s">
        <v>601</v>
      </c>
      <c r="D77" s="532"/>
      <c r="E77" s="308"/>
      <c r="H77" s="726">
        <f>ROUND(H76,0)</f>
        <v>64</v>
      </c>
      <c r="I77" s="701"/>
      <c r="J77" s="1465"/>
      <c r="K77" s="1465"/>
      <c r="L77" s="1465"/>
      <c r="M77" s="1465"/>
      <c r="N77" s="1465"/>
      <c r="O77" s="1465"/>
      <c r="P77" s="1465"/>
      <c r="Q77" s="651"/>
    </row>
    <row r="78" spans="2:16" ht="12.75">
      <c r="B78" s="341"/>
      <c r="C78" s="717"/>
      <c r="D78" s="532"/>
      <c r="E78" s="308"/>
      <c r="H78" s="726"/>
      <c r="I78" s="701"/>
      <c r="J78" s="1465"/>
      <c r="K78" s="1465"/>
      <c r="L78" s="1465"/>
      <c r="M78" s="1465"/>
      <c r="N78" s="1465"/>
      <c r="O78" s="1465"/>
      <c r="P78" s="1465"/>
    </row>
    <row r="79" spans="1:17" ht="20.25">
      <c r="A79" s="729" t="str">
        <f>""&amp;A4&amp;" Worksheet K -  ATRR TRUE-UP Calculation for PJM Projects Charged to Benefiting Zones"</f>
        <v>AEP WEST VIRGINIA TRANSMISSION COMPANY Worksheet K -  ATRR TRUE-UP Calculation for PJM Projects Charged to Benefiting Zones</v>
      </c>
      <c r="B79" s="341"/>
      <c r="C79" s="717"/>
      <c r="D79" s="532"/>
      <c r="E79" s="308"/>
      <c r="F79" s="700"/>
      <c r="G79" s="700"/>
      <c r="H79" s="308"/>
      <c r="I79" s="701"/>
      <c r="L79" s="557"/>
      <c r="M79" s="557"/>
      <c r="N79" s="557"/>
      <c r="O79" s="646" t="str">
        <f>"Page "&amp;SUM(Q$6:Q79)&amp;" of "</f>
        <v>Page 2 of </v>
      </c>
      <c r="P79" s="647">
        <f>COUNT(Q$6:Q$58387)</f>
        <v>12</v>
      </c>
      <c r="Q79" s="730">
        <v>1</v>
      </c>
    </row>
    <row r="80" spans="2:11" ht="12.75">
      <c r="B80" s="341"/>
      <c r="C80" s="308"/>
      <c r="D80" s="532"/>
      <c r="E80" s="308"/>
      <c r="F80" s="308"/>
      <c r="G80" s="308"/>
      <c r="H80" s="308"/>
      <c r="I80" s="701"/>
      <c r="J80" s="308"/>
      <c r="K80" s="420"/>
    </row>
    <row r="81" spans="2:17" ht="18">
      <c r="B81" s="650" t="s">
        <v>475</v>
      </c>
      <c r="C81" s="731" t="s">
        <v>94</v>
      </c>
      <c r="D81" s="532"/>
      <c r="E81" s="308"/>
      <c r="F81" s="308"/>
      <c r="G81" s="308"/>
      <c r="H81" s="308"/>
      <c r="I81" s="701"/>
      <c r="J81" s="701"/>
      <c r="K81" s="722"/>
      <c r="L81" s="701"/>
      <c r="M81" s="701"/>
      <c r="N81" s="701"/>
      <c r="O81" s="701"/>
      <c r="Q81" s="420"/>
    </row>
    <row r="82" spans="2:15" ht="18.75">
      <c r="B82" s="650"/>
      <c r="C82" s="649"/>
      <c r="D82" s="532"/>
      <c r="E82" s="308"/>
      <c r="F82" s="308"/>
      <c r="G82" s="308"/>
      <c r="H82" s="308"/>
      <c r="I82" s="701"/>
      <c r="J82" s="701"/>
      <c r="K82" s="722"/>
      <c r="L82" s="701"/>
      <c r="M82" s="701"/>
      <c r="N82" s="701"/>
      <c r="O82" s="701"/>
    </row>
    <row r="83" spans="2:15" ht="18.75">
      <c r="B83" s="650"/>
      <c r="C83" s="649" t="s">
        <v>95</v>
      </c>
      <c r="D83" s="532"/>
      <c r="E83" s="308"/>
      <c r="F83" s="308"/>
      <c r="G83" s="308"/>
      <c r="H83" s="308"/>
      <c r="I83" s="701"/>
      <c r="J83" s="701"/>
      <c r="K83" s="722"/>
      <c r="L83" s="701"/>
      <c r="M83" s="701"/>
      <c r="N83" s="701"/>
      <c r="O83" s="701"/>
    </row>
    <row r="84" spans="3:15" ht="15.75" thickBot="1">
      <c r="C84" s="236"/>
      <c r="D84" s="532"/>
      <c r="E84" s="308"/>
      <c r="F84" s="308"/>
      <c r="G84" s="308"/>
      <c r="H84" s="308"/>
      <c r="I84" s="701"/>
      <c r="J84" s="701"/>
      <c r="K84" s="722"/>
      <c r="L84" s="701"/>
      <c r="M84" s="701"/>
      <c r="N84" s="701"/>
      <c r="O84" s="701"/>
    </row>
    <row r="85" spans="3:15" ht="15.75">
      <c r="C85" s="652" t="s">
        <v>96</v>
      </c>
      <c r="D85" s="532"/>
      <c r="E85" s="308"/>
      <c r="F85" s="308"/>
      <c r="G85" s="308"/>
      <c r="H85" s="798"/>
      <c r="I85" s="308" t="s">
        <v>75</v>
      </c>
      <c r="J85" s="308"/>
      <c r="K85" s="420"/>
      <c r="L85" s="827">
        <f>+J91</f>
        <v>2017</v>
      </c>
      <c r="M85" s="808" t="s">
        <v>53</v>
      </c>
      <c r="N85" s="808" t="s">
        <v>54</v>
      </c>
      <c r="O85" s="809" t="s">
        <v>56</v>
      </c>
    </row>
    <row r="86" spans="3:15" ht="15.75">
      <c r="C86" s="652"/>
      <c r="D86" s="532"/>
      <c r="E86" s="308"/>
      <c r="F86" s="308"/>
      <c r="H86" s="308"/>
      <c r="I86" s="736"/>
      <c r="J86" s="736"/>
      <c r="K86" s="737"/>
      <c r="L86" s="828" t="s">
        <v>244</v>
      </c>
      <c r="M86" s="829">
        <f>VLOOKUP(J91,C98:P157,10)</f>
        <v>544400</v>
      </c>
      <c r="N86" s="829">
        <f>VLOOKUP(J91,C98:P157,12)</f>
        <v>544400</v>
      </c>
      <c r="O86" s="830">
        <f>+N86-M86</f>
        <v>0</v>
      </c>
    </row>
    <row r="87" spans="3:15" ht="12.75">
      <c r="C87" s="741" t="s">
        <v>97</v>
      </c>
      <c r="D87" s="1477" t="s">
        <v>915</v>
      </c>
      <c r="E87" s="1477"/>
      <c r="F87" s="1477"/>
      <c r="G87" s="1477"/>
      <c r="H87" s="1477"/>
      <c r="I87" s="1477"/>
      <c r="J87" s="1477"/>
      <c r="K87" s="722"/>
      <c r="L87" s="828" t="s">
        <v>245</v>
      </c>
      <c r="M87" s="831">
        <f>VLOOKUP(J91,C98:P157,6)</f>
        <v>268469.10154981795</v>
      </c>
      <c r="N87" s="831">
        <f>VLOOKUP(J91,C98:P157,7)</f>
        <v>268469.10154981795</v>
      </c>
      <c r="O87" s="832">
        <f>+N87-M87</f>
        <v>0</v>
      </c>
    </row>
    <row r="88" spans="3:15" ht="13.5" thickBot="1">
      <c r="C88" s="745"/>
      <c r="D88" s="746"/>
      <c r="E88" s="726"/>
      <c r="F88" s="726"/>
      <c r="G88" s="726"/>
      <c r="H88" s="747"/>
      <c r="I88" s="701"/>
      <c r="J88" s="701"/>
      <c r="K88" s="722"/>
      <c r="L88" s="764" t="s">
        <v>246</v>
      </c>
      <c r="M88" s="833">
        <f>+M87-M86</f>
        <v>-275930.89845018205</v>
      </c>
      <c r="N88" s="833">
        <f>+N87-N86</f>
        <v>-275930.89845018205</v>
      </c>
      <c r="O88" s="834">
        <f>+O87-O86</f>
        <v>0</v>
      </c>
    </row>
    <row r="89" spans="3:16" ht="13.5" thickBot="1">
      <c r="C89" s="748"/>
      <c r="D89" s="749"/>
      <c r="E89" s="747"/>
      <c r="F89" s="747"/>
      <c r="G89" s="747"/>
      <c r="H89" s="747"/>
      <c r="I89" s="747"/>
      <c r="J89" s="747"/>
      <c r="K89" s="750"/>
      <c r="L89" s="747"/>
      <c r="M89" s="747"/>
      <c r="N89" s="747"/>
      <c r="O89" s="747"/>
      <c r="P89" s="341"/>
    </row>
    <row r="90" spans="3:16" ht="13.5" thickBot="1">
      <c r="C90" s="751" t="s">
        <v>98</v>
      </c>
      <c r="D90" s="752"/>
      <c r="E90" s="752"/>
      <c r="F90" s="752"/>
      <c r="G90" s="752"/>
      <c r="H90" s="752"/>
      <c r="I90" s="752"/>
      <c r="J90" s="752"/>
      <c r="K90" s="754"/>
      <c r="P90" s="755"/>
    </row>
    <row r="91" spans="3:16" ht="15">
      <c r="C91" s="756" t="s">
        <v>76</v>
      </c>
      <c r="D91" s="1356">
        <v>2191536</v>
      </c>
      <c r="E91" s="717" t="s">
        <v>77</v>
      </c>
      <c r="H91" s="757"/>
      <c r="I91" s="757"/>
      <c r="J91" s="758">
        <v>2017</v>
      </c>
      <c r="K91" s="548"/>
      <c r="L91" s="1462" t="s">
        <v>78</v>
      </c>
      <c r="M91" s="1462"/>
      <c r="N91" s="1462"/>
      <c r="O91" s="1462"/>
      <c r="P91" s="420"/>
    </row>
    <row r="92" spans="3:16" ht="12.75">
      <c r="C92" s="756" t="s">
        <v>79</v>
      </c>
      <c r="D92" s="1357">
        <v>2014</v>
      </c>
      <c r="E92" s="756" t="s">
        <v>80</v>
      </c>
      <c r="F92" s="757"/>
      <c r="G92" s="757"/>
      <c r="I92" s="169"/>
      <c r="J92" s="802">
        <f>IF(H85="",0,$F$15)</f>
        <v>0</v>
      </c>
      <c r="K92" s="759"/>
      <c r="L92" s="722" t="s">
        <v>286</v>
      </c>
      <c r="P92" s="420"/>
    </row>
    <row r="93" spans="3:16" ht="12.75">
      <c r="C93" s="756" t="s">
        <v>81</v>
      </c>
      <c r="D93" s="1356">
        <v>11</v>
      </c>
      <c r="E93" s="756" t="s">
        <v>82</v>
      </c>
      <c r="F93" s="757"/>
      <c r="G93" s="757"/>
      <c r="I93" s="169"/>
      <c r="J93" s="760">
        <f>$F$68</f>
        <v>0.11137324579597359</v>
      </c>
      <c r="K93" s="761"/>
      <c r="L93" s="308" t="str">
        <f>"          INPUT TRUE-UP ARR (WITH &amp; WITHOUT INCENTIVES) FROM EACH PRIOR YEAR"</f>
        <v>          INPUT TRUE-UP ARR (WITH &amp; WITHOUT INCENTIVES) FROM EACH PRIOR YEAR</v>
      </c>
      <c r="P93" s="420"/>
    </row>
    <row r="94" spans="3:16" ht="12.75">
      <c r="C94" s="756" t="s">
        <v>83</v>
      </c>
      <c r="D94" s="762">
        <f>H$77</f>
        <v>64</v>
      </c>
      <c r="E94" s="756" t="s">
        <v>84</v>
      </c>
      <c r="F94" s="757"/>
      <c r="G94" s="757"/>
      <c r="I94" s="169"/>
      <c r="J94" s="760">
        <f>IF(H85="",+J93,$F$67)</f>
        <v>0.11137324579597359</v>
      </c>
      <c r="K94" s="763"/>
      <c r="L94" s="308" t="s">
        <v>166</v>
      </c>
      <c r="M94" s="763"/>
      <c r="N94" s="763"/>
      <c r="O94" s="763"/>
      <c r="P94" s="420"/>
    </row>
    <row r="95" spans="3:16" ht="13.5" thickBot="1">
      <c r="C95" s="756" t="s">
        <v>85</v>
      </c>
      <c r="D95" s="799" t="s">
        <v>877</v>
      </c>
      <c r="E95" s="764" t="s">
        <v>86</v>
      </c>
      <c r="F95" s="765"/>
      <c r="G95" s="765"/>
      <c r="H95" s="766"/>
      <c r="I95" s="766"/>
      <c r="J95" s="744">
        <f>IF(D91=0,0,D91/D94)</f>
        <v>34242.75</v>
      </c>
      <c r="K95" s="722"/>
      <c r="L95" s="722" t="s">
        <v>167</v>
      </c>
      <c r="M95" s="722"/>
      <c r="N95" s="722"/>
      <c r="O95" s="722"/>
      <c r="P95" s="420"/>
    </row>
    <row r="96" spans="2:16" ht="38.25">
      <c r="B96" s="837"/>
      <c r="C96" s="767" t="s">
        <v>76</v>
      </c>
      <c r="D96" s="768" t="s">
        <v>87</v>
      </c>
      <c r="E96" s="769" t="s">
        <v>88</v>
      </c>
      <c r="F96" s="768" t="s">
        <v>89</v>
      </c>
      <c r="G96" s="768" t="s">
        <v>247</v>
      </c>
      <c r="H96" s="769" t="s">
        <v>160</v>
      </c>
      <c r="I96" s="770" t="s">
        <v>160</v>
      </c>
      <c r="J96" s="767" t="s">
        <v>99</v>
      </c>
      <c r="K96" s="771"/>
      <c r="L96" s="769" t="s">
        <v>162</v>
      </c>
      <c r="M96" s="769" t="s">
        <v>168</v>
      </c>
      <c r="N96" s="769" t="s">
        <v>162</v>
      </c>
      <c r="O96" s="769" t="s">
        <v>170</v>
      </c>
      <c r="P96" s="769" t="s">
        <v>90</v>
      </c>
    </row>
    <row r="97" spans="3:16" ht="13.5" thickBot="1">
      <c r="C97" s="773" t="s">
        <v>478</v>
      </c>
      <c r="D97" s="774" t="s">
        <v>479</v>
      </c>
      <c r="E97" s="773" t="s">
        <v>372</v>
      </c>
      <c r="F97" s="774" t="s">
        <v>479</v>
      </c>
      <c r="G97" s="774" t="s">
        <v>479</v>
      </c>
      <c r="H97" s="775" t="s">
        <v>102</v>
      </c>
      <c r="I97" s="776" t="s">
        <v>104</v>
      </c>
      <c r="J97" s="777" t="s">
        <v>16</v>
      </c>
      <c r="K97" s="778"/>
      <c r="L97" s="775" t="s">
        <v>91</v>
      </c>
      <c r="M97" s="775" t="s">
        <v>91</v>
      </c>
      <c r="N97" s="775" t="s">
        <v>264</v>
      </c>
      <c r="O97" s="775" t="s">
        <v>264</v>
      </c>
      <c r="P97" s="775" t="s">
        <v>264</v>
      </c>
    </row>
    <row r="98" spans="3:16" ht="12.75">
      <c r="C98" s="780">
        <f>IF(D92="","-",D92)</f>
        <v>2014</v>
      </c>
      <c r="D98" s="728">
        <f>+D91</f>
        <v>2191536</v>
      </c>
      <c r="E98" s="786">
        <f>+J95/12*(12-D93)</f>
        <v>2853.5625</v>
      </c>
      <c r="F98" s="835">
        <f aca="true" t="shared" si="0" ref="F98:F157">+D98-E98</f>
        <v>2188682.4375</v>
      </c>
      <c r="G98" s="728">
        <f>+(D98+F98)/2</f>
        <v>2190109.21875</v>
      </c>
      <c r="H98" s="782">
        <f>+J93*G98+E98</f>
        <v>246773.13483987143</v>
      </c>
      <c r="I98" s="783">
        <f>+J94*G98+E98</f>
        <v>246773.13483987143</v>
      </c>
      <c r="J98" s="784">
        <f>+I98-H98</f>
        <v>0</v>
      </c>
      <c r="K98" s="784"/>
      <c r="L98" s="803">
        <v>541349</v>
      </c>
      <c r="M98" s="836">
        <f aca="true" t="shared" si="1" ref="M98:M157">IF(L98&lt;&gt;0,+H98-L98,0)</f>
        <v>-294575.86516012857</v>
      </c>
      <c r="N98" s="803">
        <v>541349</v>
      </c>
      <c r="O98" s="836">
        <f aca="true" t="shared" si="2" ref="O98:O157">IF(N98&lt;&gt;0,+I98-N98,0)</f>
        <v>-294575.86516012857</v>
      </c>
      <c r="P98" s="836">
        <f aca="true" t="shared" si="3" ref="P98:P157">+O98-M98</f>
        <v>0</v>
      </c>
    </row>
    <row r="99" spans="3:16" ht="12.75">
      <c r="C99" s="780">
        <f>IF(D92="","-",+C98+1)</f>
        <v>2015</v>
      </c>
      <c r="D99" s="728">
        <f aca="true" t="shared" si="4" ref="D99:D157">F98</f>
        <v>2188682.4375</v>
      </c>
      <c r="E99" s="781">
        <f>IF(D99&gt;$J$95,$J$95,D99)</f>
        <v>34242.75</v>
      </c>
      <c r="F99" s="781">
        <f t="shared" si="0"/>
        <v>2154439.6875</v>
      </c>
      <c r="G99" s="728">
        <f aca="true" t="shared" si="5" ref="G99:G157">+(D99+F99)/2</f>
        <v>2171561.0625</v>
      </c>
      <c r="H99" s="786">
        <f>+J93*G99+E99</f>
        <v>276096.55397477804</v>
      </c>
      <c r="I99" s="787">
        <f>+J94*G99+E99</f>
        <v>276096.55397477804</v>
      </c>
      <c r="J99" s="784">
        <f>+I99-H99</f>
        <v>0</v>
      </c>
      <c r="K99" s="784"/>
      <c r="L99" s="804">
        <v>511336</v>
      </c>
      <c r="M99" s="784">
        <f t="shared" si="1"/>
        <v>-235239.44602522196</v>
      </c>
      <c r="N99" s="804">
        <v>511336</v>
      </c>
      <c r="O99" s="784">
        <f t="shared" si="2"/>
        <v>-235239.44602522196</v>
      </c>
      <c r="P99" s="784">
        <f t="shared" si="3"/>
        <v>0</v>
      </c>
    </row>
    <row r="100" spans="3:16" ht="12.75">
      <c r="C100" s="780">
        <f>IF(D92="","-",+C99+1)</f>
        <v>2016</v>
      </c>
      <c r="D100" s="728">
        <f t="shared" si="4"/>
        <v>2154439.6875</v>
      </c>
      <c r="E100" s="781">
        <f aca="true" t="shared" si="6" ref="E100:E157">IF(D100&gt;$J$95,$J$95,D100)</f>
        <v>34242.75</v>
      </c>
      <c r="F100" s="781">
        <f t="shared" si="0"/>
        <v>2120196.9375</v>
      </c>
      <c r="G100" s="728">
        <f t="shared" si="5"/>
        <v>2137318.3125</v>
      </c>
      <c r="H100" s="786">
        <f>+J93*G100+E100</f>
        <v>272282.827762298</v>
      </c>
      <c r="I100" s="787">
        <f>+J94*G100+E100</f>
        <v>272282.827762298</v>
      </c>
      <c r="J100" s="784">
        <f aca="true" t="shared" si="7" ref="J100:J157">+I100-H100</f>
        <v>0</v>
      </c>
      <c r="K100" s="784"/>
      <c r="L100" s="804">
        <v>498629</v>
      </c>
      <c r="M100" s="784">
        <f t="shared" si="1"/>
        <v>-226346.172237702</v>
      </c>
      <c r="N100" s="804">
        <v>498629</v>
      </c>
      <c r="O100" s="784">
        <f t="shared" si="2"/>
        <v>-226346.172237702</v>
      </c>
      <c r="P100" s="784">
        <f t="shared" si="3"/>
        <v>0</v>
      </c>
    </row>
    <row r="101" spans="3:16" ht="12.75">
      <c r="C101" s="1358">
        <f>IF(D92="","-",+C100+1)</f>
        <v>2017</v>
      </c>
      <c r="D101" s="728">
        <f t="shared" si="4"/>
        <v>2120196.9375</v>
      </c>
      <c r="E101" s="781">
        <f t="shared" si="6"/>
        <v>34242.75</v>
      </c>
      <c r="F101" s="781">
        <f t="shared" si="0"/>
        <v>2085954.1875</v>
      </c>
      <c r="G101" s="728">
        <f t="shared" si="5"/>
        <v>2103075.5625</v>
      </c>
      <c r="H101" s="786">
        <f>+J93*G101+E101</f>
        <v>268469.10154981795</v>
      </c>
      <c r="I101" s="787">
        <f>+J94*G101+E101</f>
        <v>268469.10154981795</v>
      </c>
      <c r="J101" s="784">
        <f t="shared" si="7"/>
        <v>0</v>
      </c>
      <c r="K101" s="784"/>
      <c r="L101" s="804">
        <v>544400</v>
      </c>
      <c r="M101" s="784">
        <f t="shared" si="1"/>
        <v>-275930.89845018205</v>
      </c>
      <c r="N101" s="804">
        <v>544400</v>
      </c>
      <c r="O101" s="784">
        <f t="shared" si="2"/>
        <v>-275930.89845018205</v>
      </c>
      <c r="P101" s="784">
        <f t="shared" si="3"/>
        <v>0</v>
      </c>
    </row>
    <row r="102" spans="3:16" ht="12.75">
      <c r="C102" s="780">
        <f>IF(D92="","-",+C101+1)</f>
        <v>2018</v>
      </c>
      <c r="D102" s="728">
        <f t="shared" si="4"/>
        <v>2085954.1875</v>
      </c>
      <c r="E102" s="781">
        <f t="shared" si="6"/>
        <v>34242.75</v>
      </c>
      <c r="F102" s="781">
        <f t="shared" si="0"/>
        <v>2051711.4375</v>
      </c>
      <c r="G102" s="728">
        <f t="shared" si="5"/>
        <v>2068832.8125</v>
      </c>
      <c r="H102" s="786">
        <f>+J93*G102+E102</f>
        <v>264655.37533733784</v>
      </c>
      <c r="I102" s="787">
        <f>+J94*G102+E102</f>
        <v>264655.37533733784</v>
      </c>
      <c r="J102" s="784">
        <f t="shared" si="7"/>
        <v>0</v>
      </c>
      <c r="K102" s="784"/>
      <c r="L102" s="804"/>
      <c r="M102" s="784">
        <f t="shared" si="1"/>
        <v>0</v>
      </c>
      <c r="N102" s="804"/>
      <c r="O102" s="784">
        <f t="shared" si="2"/>
        <v>0</v>
      </c>
      <c r="P102" s="784">
        <f t="shared" si="3"/>
        <v>0</v>
      </c>
    </row>
    <row r="103" spans="3:16" ht="12.75">
      <c r="C103" s="1308">
        <f>IF(D92="","-",+C102+1)</f>
        <v>2019</v>
      </c>
      <c r="D103" s="728">
        <f t="shared" si="4"/>
        <v>2051711.4375</v>
      </c>
      <c r="E103" s="781">
        <f t="shared" si="6"/>
        <v>34242.75</v>
      </c>
      <c r="F103" s="781">
        <f t="shared" si="0"/>
        <v>2017468.6875</v>
      </c>
      <c r="G103" s="728">
        <f t="shared" si="5"/>
        <v>2034590.0625</v>
      </c>
      <c r="H103" s="786">
        <f>+J93*G103+E103</f>
        <v>260841.64912485777</v>
      </c>
      <c r="I103" s="787">
        <f>+J94*G103+E103</f>
        <v>260841.64912485777</v>
      </c>
      <c r="J103" s="784">
        <f t="shared" si="7"/>
        <v>0</v>
      </c>
      <c r="K103" s="784"/>
      <c r="L103" s="804"/>
      <c r="M103" s="784">
        <f t="shared" si="1"/>
        <v>0</v>
      </c>
      <c r="N103" s="804"/>
      <c r="O103" s="784">
        <f t="shared" si="2"/>
        <v>0</v>
      </c>
      <c r="P103" s="784">
        <f t="shared" si="3"/>
        <v>0</v>
      </c>
    </row>
    <row r="104" spans="3:16" ht="12.75">
      <c r="C104" s="780">
        <f>IF(D92="","-",+C103+1)</f>
        <v>2020</v>
      </c>
      <c r="D104" s="728">
        <f t="shared" si="4"/>
        <v>2017468.6875</v>
      </c>
      <c r="E104" s="781">
        <f t="shared" si="6"/>
        <v>34242.75</v>
      </c>
      <c r="F104" s="781">
        <f t="shared" si="0"/>
        <v>1983225.9375</v>
      </c>
      <c r="G104" s="728">
        <f t="shared" si="5"/>
        <v>2000347.3125</v>
      </c>
      <c r="H104" s="786">
        <f>+J93*G104+E104</f>
        <v>257027.9229123777</v>
      </c>
      <c r="I104" s="787">
        <f>+J94*G104+E104</f>
        <v>257027.9229123777</v>
      </c>
      <c r="J104" s="784">
        <f t="shared" si="7"/>
        <v>0</v>
      </c>
      <c r="K104" s="784"/>
      <c r="L104" s="804"/>
      <c r="M104" s="784">
        <f t="shared" si="1"/>
        <v>0</v>
      </c>
      <c r="N104" s="804"/>
      <c r="O104" s="784">
        <f t="shared" si="2"/>
        <v>0</v>
      </c>
      <c r="P104" s="784">
        <f t="shared" si="3"/>
        <v>0</v>
      </c>
    </row>
    <row r="105" spans="3:16" ht="12.75">
      <c r="C105" s="780">
        <f>IF(D92="","-",+C104+1)</f>
        <v>2021</v>
      </c>
      <c r="D105" s="728">
        <f t="shared" si="4"/>
        <v>1983225.9375</v>
      </c>
      <c r="E105" s="781">
        <f t="shared" si="6"/>
        <v>34242.75</v>
      </c>
      <c r="F105" s="781">
        <f t="shared" si="0"/>
        <v>1948983.1875</v>
      </c>
      <c r="G105" s="728">
        <f t="shared" si="5"/>
        <v>1966104.5625</v>
      </c>
      <c r="H105" s="786">
        <f>+J93*G105+E105</f>
        <v>253214.1966998976</v>
      </c>
      <c r="I105" s="787">
        <f>+J94*G105+E105</f>
        <v>253214.1966998976</v>
      </c>
      <c r="J105" s="784">
        <f t="shared" si="7"/>
        <v>0</v>
      </c>
      <c r="K105" s="784"/>
      <c r="L105" s="804"/>
      <c r="M105" s="784">
        <f t="shared" si="1"/>
        <v>0</v>
      </c>
      <c r="N105" s="804"/>
      <c r="O105" s="784">
        <f t="shared" si="2"/>
        <v>0</v>
      </c>
      <c r="P105" s="784">
        <f t="shared" si="3"/>
        <v>0</v>
      </c>
    </row>
    <row r="106" spans="3:16" ht="12.75">
      <c r="C106" s="780">
        <f>IF(D92="","-",+C105+1)</f>
        <v>2022</v>
      </c>
      <c r="D106" s="728">
        <f t="shared" si="4"/>
        <v>1948983.1875</v>
      </c>
      <c r="E106" s="781">
        <f t="shared" si="6"/>
        <v>34242.75</v>
      </c>
      <c r="F106" s="781">
        <f t="shared" si="0"/>
        <v>1914740.4375</v>
      </c>
      <c r="G106" s="728">
        <f t="shared" si="5"/>
        <v>1931861.8125</v>
      </c>
      <c r="H106" s="786">
        <f>+J93*G106+E106</f>
        <v>249400.47048741754</v>
      </c>
      <c r="I106" s="787">
        <f>+J94*G106+E106</f>
        <v>249400.47048741754</v>
      </c>
      <c r="J106" s="784">
        <f t="shared" si="7"/>
        <v>0</v>
      </c>
      <c r="K106" s="784"/>
      <c r="L106" s="804"/>
      <c r="M106" s="784">
        <f t="shared" si="1"/>
        <v>0</v>
      </c>
      <c r="N106" s="804"/>
      <c r="O106" s="784">
        <f t="shared" si="2"/>
        <v>0</v>
      </c>
      <c r="P106" s="784">
        <f t="shared" si="3"/>
        <v>0</v>
      </c>
    </row>
    <row r="107" spans="3:16" ht="12.75">
      <c r="C107" s="780">
        <f>IF(D92="","-",+C106+1)</f>
        <v>2023</v>
      </c>
      <c r="D107" s="728">
        <f t="shared" si="4"/>
        <v>1914740.4375</v>
      </c>
      <c r="E107" s="781">
        <f t="shared" si="6"/>
        <v>34242.75</v>
      </c>
      <c r="F107" s="781">
        <f t="shared" si="0"/>
        <v>1880497.6875</v>
      </c>
      <c r="G107" s="728">
        <f t="shared" si="5"/>
        <v>1897619.0625</v>
      </c>
      <c r="H107" s="786">
        <f>+J93*G107+E107</f>
        <v>245586.74427493746</v>
      </c>
      <c r="I107" s="787">
        <f>+J94*G107+E107</f>
        <v>245586.74427493746</v>
      </c>
      <c r="J107" s="784">
        <f t="shared" si="7"/>
        <v>0</v>
      </c>
      <c r="K107" s="784"/>
      <c r="L107" s="804"/>
      <c r="M107" s="784">
        <f t="shared" si="1"/>
        <v>0</v>
      </c>
      <c r="N107" s="804"/>
      <c r="O107" s="784">
        <f t="shared" si="2"/>
        <v>0</v>
      </c>
      <c r="P107" s="784">
        <f t="shared" si="3"/>
        <v>0</v>
      </c>
    </row>
    <row r="108" spans="3:16" ht="12.75">
      <c r="C108" s="780">
        <f>IF(D92="","-",+C107+1)</f>
        <v>2024</v>
      </c>
      <c r="D108" s="728">
        <f t="shared" si="4"/>
        <v>1880497.6875</v>
      </c>
      <c r="E108" s="781">
        <f t="shared" si="6"/>
        <v>34242.75</v>
      </c>
      <c r="F108" s="781">
        <f t="shared" si="0"/>
        <v>1846254.9375</v>
      </c>
      <c r="G108" s="728">
        <f t="shared" si="5"/>
        <v>1863376.3125</v>
      </c>
      <c r="H108" s="786">
        <f>+J93*G108+E108</f>
        <v>241773.01806245738</v>
      </c>
      <c r="I108" s="787">
        <f>+J94*G108+E108</f>
        <v>241773.01806245738</v>
      </c>
      <c r="J108" s="784">
        <f t="shared" si="7"/>
        <v>0</v>
      </c>
      <c r="K108" s="784"/>
      <c r="L108" s="804"/>
      <c r="M108" s="784">
        <f t="shared" si="1"/>
        <v>0</v>
      </c>
      <c r="N108" s="804"/>
      <c r="O108" s="784">
        <f t="shared" si="2"/>
        <v>0</v>
      </c>
      <c r="P108" s="784">
        <f t="shared" si="3"/>
        <v>0</v>
      </c>
    </row>
    <row r="109" spans="3:16" ht="12.75">
      <c r="C109" s="780">
        <f>IF(D92="","-",+C108+1)</f>
        <v>2025</v>
      </c>
      <c r="D109" s="728">
        <f t="shared" si="4"/>
        <v>1846254.9375</v>
      </c>
      <c r="E109" s="781">
        <f t="shared" si="6"/>
        <v>34242.75</v>
      </c>
      <c r="F109" s="781">
        <f t="shared" si="0"/>
        <v>1812012.1875</v>
      </c>
      <c r="G109" s="728">
        <f t="shared" si="5"/>
        <v>1829133.5625</v>
      </c>
      <c r="H109" s="786">
        <f>+J93*G109+E109</f>
        <v>237959.2918499773</v>
      </c>
      <c r="I109" s="787">
        <f>+J94*G109+E109</f>
        <v>237959.2918499773</v>
      </c>
      <c r="J109" s="784">
        <f t="shared" si="7"/>
        <v>0</v>
      </c>
      <c r="K109" s="784"/>
      <c r="L109" s="804"/>
      <c r="M109" s="784">
        <f t="shared" si="1"/>
        <v>0</v>
      </c>
      <c r="N109" s="804"/>
      <c r="O109" s="784">
        <f t="shared" si="2"/>
        <v>0</v>
      </c>
      <c r="P109" s="784">
        <f t="shared" si="3"/>
        <v>0</v>
      </c>
    </row>
    <row r="110" spans="3:16" ht="12.75">
      <c r="C110" s="780">
        <f>IF(D92="","-",+C109+1)</f>
        <v>2026</v>
      </c>
      <c r="D110" s="728">
        <f t="shared" si="4"/>
        <v>1812012.1875</v>
      </c>
      <c r="E110" s="781">
        <f t="shared" si="6"/>
        <v>34242.75</v>
      </c>
      <c r="F110" s="781">
        <f t="shared" si="0"/>
        <v>1777769.4375</v>
      </c>
      <c r="G110" s="728">
        <f t="shared" si="5"/>
        <v>1794890.8125</v>
      </c>
      <c r="H110" s="786">
        <f>+J93*G110+E110</f>
        <v>234145.56563749723</v>
      </c>
      <c r="I110" s="787">
        <f>+J94*G110+E110</f>
        <v>234145.56563749723</v>
      </c>
      <c r="J110" s="784">
        <f t="shared" si="7"/>
        <v>0</v>
      </c>
      <c r="K110" s="784"/>
      <c r="L110" s="804"/>
      <c r="M110" s="784">
        <f t="shared" si="1"/>
        <v>0</v>
      </c>
      <c r="N110" s="804"/>
      <c r="O110" s="784">
        <f t="shared" si="2"/>
        <v>0</v>
      </c>
      <c r="P110" s="784">
        <f t="shared" si="3"/>
        <v>0</v>
      </c>
    </row>
    <row r="111" spans="3:16" ht="12.75">
      <c r="C111" s="780">
        <f>IF(D92="","-",+C110+1)</f>
        <v>2027</v>
      </c>
      <c r="D111" s="728">
        <f t="shared" si="4"/>
        <v>1777769.4375</v>
      </c>
      <c r="E111" s="781">
        <f t="shared" si="6"/>
        <v>34242.75</v>
      </c>
      <c r="F111" s="781">
        <f t="shared" si="0"/>
        <v>1743526.6875</v>
      </c>
      <c r="G111" s="728">
        <f t="shared" si="5"/>
        <v>1760648.0625</v>
      </c>
      <c r="H111" s="786">
        <f>+J93*G111+E111</f>
        <v>230331.83942501716</v>
      </c>
      <c r="I111" s="787">
        <f>+J94*G111+E111</f>
        <v>230331.83942501716</v>
      </c>
      <c r="J111" s="784">
        <f t="shared" si="7"/>
        <v>0</v>
      </c>
      <c r="K111" s="784"/>
      <c r="L111" s="804"/>
      <c r="M111" s="784">
        <f t="shared" si="1"/>
        <v>0</v>
      </c>
      <c r="N111" s="804"/>
      <c r="O111" s="784">
        <f t="shared" si="2"/>
        <v>0</v>
      </c>
      <c r="P111" s="784">
        <f t="shared" si="3"/>
        <v>0</v>
      </c>
    </row>
    <row r="112" spans="3:16" ht="12.75">
      <c r="C112" s="780">
        <f>IF(D92="","-",+C111+1)</f>
        <v>2028</v>
      </c>
      <c r="D112" s="728">
        <f t="shared" si="4"/>
        <v>1743526.6875</v>
      </c>
      <c r="E112" s="781">
        <f t="shared" si="6"/>
        <v>34242.75</v>
      </c>
      <c r="F112" s="781">
        <f t="shared" si="0"/>
        <v>1709283.9375</v>
      </c>
      <c r="G112" s="728">
        <f t="shared" si="5"/>
        <v>1726405.3125</v>
      </c>
      <c r="H112" s="786">
        <f>+J93*G112+E112</f>
        <v>226518.1132125371</v>
      </c>
      <c r="I112" s="787">
        <f>+J94*G112+E112</f>
        <v>226518.1132125371</v>
      </c>
      <c r="J112" s="784">
        <f t="shared" si="7"/>
        <v>0</v>
      </c>
      <c r="K112" s="784"/>
      <c r="L112" s="804"/>
      <c r="M112" s="784">
        <f t="shared" si="1"/>
        <v>0</v>
      </c>
      <c r="N112" s="804"/>
      <c r="O112" s="784">
        <f t="shared" si="2"/>
        <v>0</v>
      </c>
      <c r="P112" s="784">
        <f t="shared" si="3"/>
        <v>0</v>
      </c>
    </row>
    <row r="113" spans="3:16" ht="12.75">
      <c r="C113" s="780">
        <f>IF(D92="","-",+C112+1)</f>
        <v>2029</v>
      </c>
      <c r="D113" s="728">
        <f t="shared" si="4"/>
        <v>1709283.9375</v>
      </c>
      <c r="E113" s="781">
        <f t="shared" si="6"/>
        <v>34242.75</v>
      </c>
      <c r="F113" s="781">
        <f t="shared" si="0"/>
        <v>1675041.1875</v>
      </c>
      <c r="G113" s="728">
        <f t="shared" si="5"/>
        <v>1692162.5625</v>
      </c>
      <c r="H113" s="786">
        <f>+J93*G113+E113</f>
        <v>222704.38700005703</v>
      </c>
      <c r="I113" s="787">
        <f>+J94*G113+E113</f>
        <v>222704.38700005703</v>
      </c>
      <c r="J113" s="784">
        <f t="shared" si="7"/>
        <v>0</v>
      </c>
      <c r="K113" s="784"/>
      <c r="L113" s="804"/>
      <c r="M113" s="784">
        <f t="shared" si="1"/>
        <v>0</v>
      </c>
      <c r="N113" s="804"/>
      <c r="O113" s="784">
        <f t="shared" si="2"/>
        <v>0</v>
      </c>
      <c r="P113" s="784">
        <f t="shared" si="3"/>
        <v>0</v>
      </c>
    </row>
    <row r="114" spans="3:16" ht="12.75">
      <c r="C114" s="780">
        <f>IF(D92="","-",+C113+1)</f>
        <v>2030</v>
      </c>
      <c r="D114" s="728">
        <f t="shared" si="4"/>
        <v>1675041.1875</v>
      </c>
      <c r="E114" s="781">
        <f t="shared" si="6"/>
        <v>34242.75</v>
      </c>
      <c r="F114" s="781">
        <f t="shared" si="0"/>
        <v>1640798.4375</v>
      </c>
      <c r="G114" s="728">
        <f t="shared" si="5"/>
        <v>1657919.8125</v>
      </c>
      <c r="H114" s="786">
        <f>+J93*G114+E114</f>
        <v>218890.66078757696</v>
      </c>
      <c r="I114" s="787">
        <f>+J94*G114+E114</f>
        <v>218890.66078757696</v>
      </c>
      <c r="J114" s="784">
        <f t="shared" si="7"/>
        <v>0</v>
      </c>
      <c r="K114" s="784"/>
      <c r="L114" s="804"/>
      <c r="M114" s="784">
        <f t="shared" si="1"/>
        <v>0</v>
      </c>
      <c r="N114" s="804"/>
      <c r="O114" s="784">
        <f t="shared" si="2"/>
        <v>0</v>
      </c>
      <c r="P114" s="784">
        <f t="shared" si="3"/>
        <v>0</v>
      </c>
    </row>
    <row r="115" spans="3:16" ht="12.75">
      <c r="C115" s="780">
        <f>IF(D92="","-",+C114+1)</f>
        <v>2031</v>
      </c>
      <c r="D115" s="728">
        <f t="shared" si="4"/>
        <v>1640798.4375</v>
      </c>
      <c r="E115" s="781">
        <f t="shared" si="6"/>
        <v>34242.75</v>
      </c>
      <c r="F115" s="781">
        <f t="shared" si="0"/>
        <v>1606555.6875</v>
      </c>
      <c r="G115" s="728">
        <f t="shared" si="5"/>
        <v>1623677.0625</v>
      </c>
      <c r="H115" s="786">
        <f>+J93*G115+E115</f>
        <v>215076.93457509688</v>
      </c>
      <c r="I115" s="787">
        <f>+J94*G115+E115</f>
        <v>215076.93457509688</v>
      </c>
      <c r="J115" s="784">
        <f t="shared" si="7"/>
        <v>0</v>
      </c>
      <c r="K115" s="784"/>
      <c r="L115" s="804"/>
      <c r="M115" s="784">
        <f t="shared" si="1"/>
        <v>0</v>
      </c>
      <c r="N115" s="804"/>
      <c r="O115" s="784">
        <f t="shared" si="2"/>
        <v>0</v>
      </c>
      <c r="P115" s="784">
        <f t="shared" si="3"/>
        <v>0</v>
      </c>
    </row>
    <row r="116" spans="3:16" ht="12.75">
      <c r="C116" s="780">
        <f>IF(D92="","-",+C115+1)</f>
        <v>2032</v>
      </c>
      <c r="D116" s="728">
        <f t="shared" si="4"/>
        <v>1606555.6875</v>
      </c>
      <c r="E116" s="781">
        <f t="shared" si="6"/>
        <v>34242.75</v>
      </c>
      <c r="F116" s="781">
        <f t="shared" si="0"/>
        <v>1572312.9375</v>
      </c>
      <c r="G116" s="728">
        <f t="shared" si="5"/>
        <v>1589434.3125</v>
      </c>
      <c r="H116" s="786">
        <f>+J93*G116+E116</f>
        <v>211263.2083626168</v>
      </c>
      <c r="I116" s="787">
        <f>+J94*G116+E116</f>
        <v>211263.2083626168</v>
      </c>
      <c r="J116" s="784">
        <f t="shared" si="7"/>
        <v>0</v>
      </c>
      <c r="K116" s="784"/>
      <c r="L116" s="804"/>
      <c r="M116" s="784">
        <f t="shared" si="1"/>
        <v>0</v>
      </c>
      <c r="N116" s="804"/>
      <c r="O116" s="784">
        <f t="shared" si="2"/>
        <v>0</v>
      </c>
      <c r="P116" s="784">
        <f t="shared" si="3"/>
        <v>0</v>
      </c>
    </row>
    <row r="117" spans="3:16" ht="12.75">
      <c r="C117" s="780">
        <f>IF(D92="","-",+C116+1)</f>
        <v>2033</v>
      </c>
      <c r="D117" s="728">
        <f t="shared" si="4"/>
        <v>1572312.9375</v>
      </c>
      <c r="E117" s="781">
        <f t="shared" si="6"/>
        <v>34242.75</v>
      </c>
      <c r="F117" s="781">
        <f t="shared" si="0"/>
        <v>1538070.1875</v>
      </c>
      <c r="G117" s="728">
        <f t="shared" si="5"/>
        <v>1555191.5625</v>
      </c>
      <c r="H117" s="786">
        <f>+J93*G117+E117</f>
        <v>207449.48215013673</v>
      </c>
      <c r="I117" s="787">
        <f>+J94*G117+E117</f>
        <v>207449.48215013673</v>
      </c>
      <c r="J117" s="784">
        <f t="shared" si="7"/>
        <v>0</v>
      </c>
      <c r="K117" s="784"/>
      <c r="L117" s="804"/>
      <c r="M117" s="784">
        <f t="shared" si="1"/>
        <v>0</v>
      </c>
      <c r="N117" s="804"/>
      <c r="O117" s="784">
        <f t="shared" si="2"/>
        <v>0</v>
      </c>
      <c r="P117" s="784">
        <f t="shared" si="3"/>
        <v>0</v>
      </c>
    </row>
    <row r="118" spans="3:16" ht="12.75">
      <c r="C118" s="780">
        <f>IF(D92="","-",+C117+1)</f>
        <v>2034</v>
      </c>
      <c r="D118" s="728">
        <f t="shared" si="4"/>
        <v>1538070.1875</v>
      </c>
      <c r="E118" s="781">
        <f t="shared" si="6"/>
        <v>34242.75</v>
      </c>
      <c r="F118" s="781">
        <f t="shared" si="0"/>
        <v>1503827.4375</v>
      </c>
      <c r="G118" s="728">
        <f t="shared" si="5"/>
        <v>1520948.8125</v>
      </c>
      <c r="H118" s="786">
        <f>+J93*G118+E118</f>
        <v>203635.75593765665</v>
      </c>
      <c r="I118" s="787">
        <f>+J94*G118+E118</f>
        <v>203635.75593765665</v>
      </c>
      <c r="J118" s="784">
        <f t="shared" si="7"/>
        <v>0</v>
      </c>
      <c r="K118" s="784"/>
      <c r="L118" s="804"/>
      <c r="M118" s="784">
        <f t="shared" si="1"/>
        <v>0</v>
      </c>
      <c r="N118" s="804"/>
      <c r="O118" s="784">
        <f t="shared" si="2"/>
        <v>0</v>
      </c>
      <c r="P118" s="784">
        <f t="shared" si="3"/>
        <v>0</v>
      </c>
    </row>
    <row r="119" spans="3:16" ht="12.75">
      <c r="C119" s="780">
        <f>IF(D92="","-",+C118+1)</f>
        <v>2035</v>
      </c>
      <c r="D119" s="728">
        <f t="shared" si="4"/>
        <v>1503827.4375</v>
      </c>
      <c r="E119" s="781">
        <f t="shared" si="6"/>
        <v>34242.75</v>
      </c>
      <c r="F119" s="781">
        <f t="shared" si="0"/>
        <v>1469584.6875</v>
      </c>
      <c r="G119" s="728">
        <f t="shared" si="5"/>
        <v>1486706.0625</v>
      </c>
      <c r="H119" s="786">
        <f>+J93*G119+E119</f>
        <v>199822.02972517657</v>
      </c>
      <c r="I119" s="787">
        <f>+J94*G119+E119</f>
        <v>199822.02972517657</v>
      </c>
      <c r="J119" s="784">
        <f t="shared" si="7"/>
        <v>0</v>
      </c>
      <c r="K119" s="784"/>
      <c r="L119" s="804"/>
      <c r="M119" s="784">
        <f t="shared" si="1"/>
        <v>0</v>
      </c>
      <c r="N119" s="804"/>
      <c r="O119" s="784">
        <f t="shared" si="2"/>
        <v>0</v>
      </c>
      <c r="P119" s="784">
        <f t="shared" si="3"/>
        <v>0</v>
      </c>
    </row>
    <row r="120" spans="3:16" ht="12.75">
      <c r="C120" s="780">
        <f>IF(D92="","-",+C119+1)</f>
        <v>2036</v>
      </c>
      <c r="D120" s="728">
        <f t="shared" si="4"/>
        <v>1469584.6875</v>
      </c>
      <c r="E120" s="781">
        <f t="shared" si="6"/>
        <v>34242.75</v>
      </c>
      <c r="F120" s="781">
        <f t="shared" si="0"/>
        <v>1435341.9375</v>
      </c>
      <c r="G120" s="728">
        <f t="shared" si="5"/>
        <v>1452463.3125</v>
      </c>
      <c r="H120" s="786">
        <f>+J93*G120+E120</f>
        <v>196008.3035126965</v>
      </c>
      <c r="I120" s="787">
        <f>+J94*G120+E120</f>
        <v>196008.3035126965</v>
      </c>
      <c r="J120" s="784">
        <f t="shared" si="7"/>
        <v>0</v>
      </c>
      <c r="K120" s="784"/>
      <c r="L120" s="804"/>
      <c r="M120" s="784">
        <f t="shared" si="1"/>
        <v>0</v>
      </c>
      <c r="N120" s="804"/>
      <c r="O120" s="784">
        <f t="shared" si="2"/>
        <v>0</v>
      </c>
      <c r="P120" s="784">
        <f t="shared" si="3"/>
        <v>0</v>
      </c>
    </row>
    <row r="121" spans="3:16" ht="12.75">
      <c r="C121" s="780">
        <f>IF(D92="","-",+C120+1)</f>
        <v>2037</v>
      </c>
      <c r="D121" s="728">
        <f t="shared" si="4"/>
        <v>1435341.9375</v>
      </c>
      <c r="E121" s="781">
        <f t="shared" si="6"/>
        <v>34242.75</v>
      </c>
      <c r="F121" s="781">
        <f t="shared" si="0"/>
        <v>1401099.1875</v>
      </c>
      <c r="G121" s="728">
        <f t="shared" si="5"/>
        <v>1418220.5625</v>
      </c>
      <c r="H121" s="786">
        <f>+J93*G121+E121</f>
        <v>192194.57730021642</v>
      </c>
      <c r="I121" s="787">
        <f>+J94*G121+E121</f>
        <v>192194.57730021642</v>
      </c>
      <c r="J121" s="784">
        <f t="shared" si="7"/>
        <v>0</v>
      </c>
      <c r="K121" s="784"/>
      <c r="L121" s="804"/>
      <c r="M121" s="784">
        <f t="shared" si="1"/>
        <v>0</v>
      </c>
      <c r="N121" s="804"/>
      <c r="O121" s="784">
        <f t="shared" si="2"/>
        <v>0</v>
      </c>
      <c r="P121" s="784">
        <f t="shared" si="3"/>
        <v>0</v>
      </c>
    </row>
    <row r="122" spans="3:16" ht="12.75">
      <c r="C122" s="780">
        <f>IF(D92="","-",+C121+1)</f>
        <v>2038</v>
      </c>
      <c r="D122" s="728">
        <f t="shared" si="4"/>
        <v>1401099.1875</v>
      </c>
      <c r="E122" s="781">
        <f t="shared" si="6"/>
        <v>34242.75</v>
      </c>
      <c r="F122" s="781">
        <f t="shared" si="0"/>
        <v>1366856.4375</v>
      </c>
      <c r="G122" s="728">
        <f t="shared" si="5"/>
        <v>1383977.8125</v>
      </c>
      <c r="H122" s="786">
        <f>+J93*G122+E122</f>
        <v>188380.85108773634</v>
      </c>
      <c r="I122" s="787">
        <f>+J94*G122+E122</f>
        <v>188380.85108773634</v>
      </c>
      <c r="J122" s="784">
        <f t="shared" si="7"/>
        <v>0</v>
      </c>
      <c r="K122" s="784"/>
      <c r="L122" s="804"/>
      <c r="M122" s="784">
        <f t="shared" si="1"/>
        <v>0</v>
      </c>
      <c r="N122" s="804"/>
      <c r="O122" s="784">
        <f t="shared" si="2"/>
        <v>0</v>
      </c>
      <c r="P122" s="784">
        <f t="shared" si="3"/>
        <v>0</v>
      </c>
    </row>
    <row r="123" spans="3:16" ht="12.75">
      <c r="C123" s="780">
        <f>IF(D92="","-",+C122+1)</f>
        <v>2039</v>
      </c>
      <c r="D123" s="728">
        <f t="shared" si="4"/>
        <v>1366856.4375</v>
      </c>
      <c r="E123" s="781">
        <f t="shared" si="6"/>
        <v>34242.75</v>
      </c>
      <c r="F123" s="781">
        <f t="shared" si="0"/>
        <v>1332613.6875</v>
      </c>
      <c r="G123" s="728">
        <f t="shared" si="5"/>
        <v>1349735.0625</v>
      </c>
      <c r="H123" s="786">
        <f>+J93*G123+E123</f>
        <v>184567.12487525627</v>
      </c>
      <c r="I123" s="787">
        <f>+J94*G123+E123</f>
        <v>184567.12487525627</v>
      </c>
      <c r="J123" s="784">
        <f t="shared" si="7"/>
        <v>0</v>
      </c>
      <c r="K123" s="784"/>
      <c r="L123" s="804"/>
      <c r="M123" s="784">
        <f t="shared" si="1"/>
        <v>0</v>
      </c>
      <c r="N123" s="804"/>
      <c r="O123" s="784">
        <f t="shared" si="2"/>
        <v>0</v>
      </c>
      <c r="P123" s="784">
        <f t="shared" si="3"/>
        <v>0</v>
      </c>
    </row>
    <row r="124" spans="3:16" ht="12.75">
      <c r="C124" s="780">
        <f>IF(D92="","-",+C123+1)</f>
        <v>2040</v>
      </c>
      <c r="D124" s="728">
        <f t="shared" si="4"/>
        <v>1332613.6875</v>
      </c>
      <c r="E124" s="781">
        <f t="shared" si="6"/>
        <v>34242.75</v>
      </c>
      <c r="F124" s="781">
        <f t="shared" si="0"/>
        <v>1298370.9375</v>
      </c>
      <c r="G124" s="728">
        <f t="shared" si="5"/>
        <v>1315492.3125</v>
      </c>
      <c r="H124" s="786">
        <f>+J93*G124+E124</f>
        <v>180753.3986627762</v>
      </c>
      <c r="I124" s="787">
        <f>+J94*G124+E124</f>
        <v>180753.3986627762</v>
      </c>
      <c r="J124" s="784">
        <f t="shared" si="7"/>
        <v>0</v>
      </c>
      <c r="K124" s="784"/>
      <c r="L124" s="804"/>
      <c r="M124" s="784">
        <f t="shared" si="1"/>
        <v>0</v>
      </c>
      <c r="N124" s="804"/>
      <c r="O124" s="784">
        <f t="shared" si="2"/>
        <v>0</v>
      </c>
      <c r="P124" s="784">
        <f t="shared" si="3"/>
        <v>0</v>
      </c>
    </row>
    <row r="125" spans="3:16" ht="12.75">
      <c r="C125" s="780">
        <f>IF(D92="","-",+C124+1)</f>
        <v>2041</v>
      </c>
      <c r="D125" s="728">
        <f t="shared" si="4"/>
        <v>1298370.9375</v>
      </c>
      <c r="E125" s="781">
        <f t="shared" si="6"/>
        <v>34242.75</v>
      </c>
      <c r="F125" s="781">
        <f t="shared" si="0"/>
        <v>1264128.1875</v>
      </c>
      <c r="G125" s="728">
        <f t="shared" si="5"/>
        <v>1281249.5625</v>
      </c>
      <c r="H125" s="786">
        <f>+J93*G125+E125</f>
        <v>176939.67245029612</v>
      </c>
      <c r="I125" s="787">
        <f>+J94*G125+E125</f>
        <v>176939.67245029612</v>
      </c>
      <c r="J125" s="784">
        <f t="shared" si="7"/>
        <v>0</v>
      </c>
      <c r="K125" s="784"/>
      <c r="L125" s="804"/>
      <c r="M125" s="784">
        <f t="shared" si="1"/>
        <v>0</v>
      </c>
      <c r="N125" s="804"/>
      <c r="O125" s="784">
        <f t="shared" si="2"/>
        <v>0</v>
      </c>
      <c r="P125" s="784">
        <f t="shared" si="3"/>
        <v>0</v>
      </c>
    </row>
    <row r="126" spans="3:16" ht="12.75">
      <c r="C126" s="780">
        <f>IF(D92="","-",+C125+1)</f>
        <v>2042</v>
      </c>
      <c r="D126" s="728">
        <f t="shared" si="4"/>
        <v>1264128.1875</v>
      </c>
      <c r="E126" s="781">
        <f t="shared" si="6"/>
        <v>34242.75</v>
      </c>
      <c r="F126" s="781">
        <f t="shared" si="0"/>
        <v>1229885.4375</v>
      </c>
      <c r="G126" s="728">
        <f t="shared" si="5"/>
        <v>1247006.8125</v>
      </c>
      <c r="H126" s="786">
        <f>+J93*G126+E126</f>
        <v>173125.94623781604</v>
      </c>
      <c r="I126" s="787">
        <f>+J94*G126+E126</f>
        <v>173125.94623781604</v>
      </c>
      <c r="J126" s="784">
        <f t="shared" si="7"/>
        <v>0</v>
      </c>
      <c r="K126" s="784"/>
      <c r="L126" s="804"/>
      <c r="M126" s="784">
        <f t="shared" si="1"/>
        <v>0</v>
      </c>
      <c r="N126" s="804"/>
      <c r="O126" s="784">
        <f t="shared" si="2"/>
        <v>0</v>
      </c>
      <c r="P126" s="784">
        <f t="shared" si="3"/>
        <v>0</v>
      </c>
    </row>
    <row r="127" spans="3:16" ht="12.75">
      <c r="C127" s="780">
        <f>IF(D92="","-",+C126+1)</f>
        <v>2043</v>
      </c>
      <c r="D127" s="728">
        <f t="shared" si="4"/>
        <v>1229885.4375</v>
      </c>
      <c r="E127" s="781">
        <f t="shared" si="6"/>
        <v>34242.75</v>
      </c>
      <c r="F127" s="781">
        <f t="shared" si="0"/>
        <v>1195642.6875</v>
      </c>
      <c r="G127" s="728">
        <f t="shared" si="5"/>
        <v>1212764.0625</v>
      </c>
      <c r="H127" s="786">
        <f>+J93*G127+E127</f>
        <v>169312.22002533596</v>
      </c>
      <c r="I127" s="787">
        <f>+J94*G127+E127</f>
        <v>169312.22002533596</v>
      </c>
      <c r="J127" s="784">
        <f t="shared" si="7"/>
        <v>0</v>
      </c>
      <c r="K127" s="784"/>
      <c r="L127" s="804"/>
      <c r="M127" s="784">
        <f t="shared" si="1"/>
        <v>0</v>
      </c>
      <c r="N127" s="804"/>
      <c r="O127" s="784">
        <f t="shared" si="2"/>
        <v>0</v>
      </c>
      <c r="P127" s="784">
        <f t="shared" si="3"/>
        <v>0</v>
      </c>
    </row>
    <row r="128" spans="3:16" ht="12.75">
      <c r="C128" s="780">
        <f>IF(D92="","-",+C127+1)</f>
        <v>2044</v>
      </c>
      <c r="D128" s="728">
        <f t="shared" si="4"/>
        <v>1195642.6875</v>
      </c>
      <c r="E128" s="781">
        <f t="shared" si="6"/>
        <v>34242.75</v>
      </c>
      <c r="F128" s="781">
        <f t="shared" si="0"/>
        <v>1161399.9375</v>
      </c>
      <c r="G128" s="728">
        <f t="shared" si="5"/>
        <v>1178521.3125</v>
      </c>
      <c r="H128" s="786">
        <f>+J93*G128+E128</f>
        <v>165498.4938128559</v>
      </c>
      <c r="I128" s="787">
        <f>+J94*G128+E128</f>
        <v>165498.4938128559</v>
      </c>
      <c r="J128" s="784">
        <f t="shared" si="7"/>
        <v>0</v>
      </c>
      <c r="K128" s="784"/>
      <c r="L128" s="804"/>
      <c r="M128" s="784">
        <f t="shared" si="1"/>
        <v>0</v>
      </c>
      <c r="N128" s="804"/>
      <c r="O128" s="784">
        <f t="shared" si="2"/>
        <v>0</v>
      </c>
      <c r="P128" s="784">
        <f t="shared" si="3"/>
        <v>0</v>
      </c>
    </row>
    <row r="129" spans="3:16" ht="12.75">
      <c r="C129" s="780">
        <f>IF(D92="","-",+C128+1)</f>
        <v>2045</v>
      </c>
      <c r="D129" s="728">
        <f t="shared" si="4"/>
        <v>1161399.9375</v>
      </c>
      <c r="E129" s="781">
        <f t="shared" si="6"/>
        <v>34242.75</v>
      </c>
      <c r="F129" s="781">
        <f t="shared" si="0"/>
        <v>1127157.1875</v>
      </c>
      <c r="G129" s="728">
        <f t="shared" si="5"/>
        <v>1144278.5625</v>
      </c>
      <c r="H129" s="786">
        <f>+J93*G129+E129</f>
        <v>161684.7676003758</v>
      </c>
      <c r="I129" s="787">
        <f>+J94*G129+E129</f>
        <v>161684.7676003758</v>
      </c>
      <c r="J129" s="784">
        <f t="shared" si="7"/>
        <v>0</v>
      </c>
      <c r="K129" s="784"/>
      <c r="L129" s="804"/>
      <c r="M129" s="784">
        <f t="shared" si="1"/>
        <v>0</v>
      </c>
      <c r="N129" s="804"/>
      <c r="O129" s="784">
        <f t="shared" si="2"/>
        <v>0</v>
      </c>
      <c r="P129" s="784">
        <f t="shared" si="3"/>
        <v>0</v>
      </c>
    </row>
    <row r="130" spans="3:16" ht="12.75">
      <c r="C130" s="780">
        <f>IF(D92="","-",+C129+1)</f>
        <v>2046</v>
      </c>
      <c r="D130" s="728">
        <f t="shared" si="4"/>
        <v>1127157.1875</v>
      </c>
      <c r="E130" s="781">
        <f t="shared" si="6"/>
        <v>34242.75</v>
      </c>
      <c r="F130" s="781">
        <f t="shared" si="0"/>
        <v>1092914.4375</v>
      </c>
      <c r="G130" s="728">
        <f t="shared" si="5"/>
        <v>1110035.8125</v>
      </c>
      <c r="H130" s="786">
        <f>+J93*G130+E130</f>
        <v>157871.04138789576</v>
      </c>
      <c r="I130" s="787">
        <f>+J94*G130+E130</f>
        <v>157871.04138789576</v>
      </c>
      <c r="J130" s="784">
        <f t="shared" si="7"/>
        <v>0</v>
      </c>
      <c r="K130" s="784"/>
      <c r="L130" s="804"/>
      <c r="M130" s="784">
        <f t="shared" si="1"/>
        <v>0</v>
      </c>
      <c r="N130" s="804"/>
      <c r="O130" s="784">
        <f t="shared" si="2"/>
        <v>0</v>
      </c>
      <c r="P130" s="784">
        <f t="shared" si="3"/>
        <v>0</v>
      </c>
    </row>
    <row r="131" spans="3:16" ht="12.75">
      <c r="C131" s="780">
        <f>IF(D92="","-",+C130+1)</f>
        <v>2047</v>
      </c>
      <c r="D131" s="728">
        <f t="shared" si="4"/>
        <v>1092914.4375</v>
      </c>
      <c r="E131" s="781">
        <f t="shared" si="6"/>
        <v>34242.75</v>
      </c>
      <c r="F131" s="781">
        <f t="shared" si="0"/>
        <v>1058671.6875</v>
      </c>
      <c r="G131" s="728">
        <f t="shared" si="5"/>
        <v>1075793.0625</v>
      </c>
      <c r="H131" s="786">
        <f>+J93*G131+E131</f>
        <v>154057.31517541566</v>
      </c>
      <c r="I131" s="787">
        <f>+J94*G131+E131</f>
        <v>154057.31517541566</v>
      </c>
      <c r="J131" s="784">
        <f t="shared" si="7"/>
        <v>0</v>
      </c>
      <c r="K131" s="784"/>
      <c r="L131" s="804"/>
      <c r="M131" s="784">
        <f t="shared" si="1"/>
        <v>0</v>
      </c>
      <c r="N131" s="804"/>
      <c r="O131" s="784">
        <f t="shared" si="2"/>
        <v>0</v>
      </c>
      <c r="P131" s="784">
        <f t="shared" si="3"/>
        <v>0</v>
      </c>
    </row>
    <row r="132" spans="3:16" ht="12.75">
      <c r="C132" s="780">
        <f>IF(D92="","-",+C131+1)</f>
        <v>2048</v>
      </c>
      <c r="D132" s="728">
        <f t="shared" si="4"/>
        <v>1058671.6875</v>
      </c>
      <c r="E132" s="781">
        <f t="shared" si="6"/>
        <v>34242.75</v>
      </c>
      <c r="F132" s="781">
        <f t="shared" si="0"/>
        <v>1024428.9375</v>
      </c>
      <c r="G132" s="728">
        <f t="shared" si="5"/>
        <v>1041550.3125</v>
      </c>
      <c r="H132" s="786">
        <f>+J93*G132+E132</f>
        <v>150243.5889629356</v>
      </c>
      <c r="I132" s="787">
        <f>+J94*G132+E132</f>
        <v>150243.5889629356</v>
      </c>
      <c r="J132" s="784">
        <f t="shared" si="7"/>
        <v>0</v>
      </c>
      <c r="K132" s="784"/>
      <c r="L132" s="804"/>
      <c r="M132" s="784">
        <f t="shared" si="1"/>
        <v>0</v>
      </c>
      <c r="N132" s="804"/>
      <c r="O132" s="784">
        <f t="shared" si="2"/>
        <v>0</v>
      </c>
      <c r="P132" s="784">
        <f t="shared" si="3"/>
        <v>0</v>
      </c>
    </row>
    <row r="133" spans="3:16" ht="12.75">
      <c r="C133" s="780">
        <f>IF(D92="","-",+C132+1)</f>
        <v>2049</v>
      </c>
      <c r="D133" s="728">
        <f t="shared" si="4"/>
        <v>1024428.9375</v>
      </c>
      <c r="E133" s="781">
        <f t="shared" si="6"/>
        <v>34242.75</v>
      </c>
      <c r="F133" s="781">
        <f t="shared" si="0"/>
        <v>990186.1875</v>
      </c>
      <c r="G133" s="728">
        <f t="shared" si="5"/>
        <v>1007307.5625</v>
      </c>
      <c r="H133" s="786">
        <f>+J93*G133+E133</f>
        <v>146429.86275045553</v>
      </c>
      <c r="I133" s="787">
        <f>+J94*G133+E133</f>
        <v>146429.86275045553</v>
      </c>
      <c r="J133" s="784">
        <f t="shared" si="7"/>
        <v>0</v>
      </c>
      <c r="K133" s="784"/>
      <c r="L133" s="804"/>
      <c r="M133" s="784">
        <f t="shared" si="1"/>
        <v>0</v>
      </c>
      <c r="N133" s="804"/>
      <c r="O133" s="784">
        <f t="shared" si="2"/>
        <v>0</v>
      </c>
      <c r="P133" s="784">
        <f t="shared" si="3"/>
        <v>0</v>
      </c>
    </row>
    <row r="134" spans="3:16" ht="12.75">
      <c r="C134" s="780">
        <f>IF(D92="","-",+C133+1)</f>
        <v>2050</v>
      </c>
      <c r="D134" s="728">
        <f t="shared" si="4"/>
        <v>990186.1875</v>
      </c>
      <c r="E134" s="781">
        <f t="shared" si="6"/>
        <v>34242.75</v>
      </c>
      <c r="F134" s="781">
        <f t="shared" si="0"/>
        <v>955943.4375</v>
      </c>
      <c r="G134" s="728">
        <f t="shared" si="5"/>
        <v>973064.8125</v>
      </c>
      <c r="H134" s="786">
        <f>+J93*G134+E134</f>
        <v>142616.13653797546</v>
      </c>
      <c r="I134" s="787">
        <f>+J94*G134+E134</f>
        <v>142616.13653797546</v>
      </c>
      <c r="J134" s="784">
        <f t="shared" si="7"/>
        <v>0</v>
      </c>
      <c r="K134" s="784"/>
      <c r="L134" s="804"/>
      <c r="M134" s="784">
        <f t="shared" si="1"/>
        <v>0</v>
      </c>
      <c r="N134" s="804"/>
      <c r="O134" s="784">
        <f t="shared" si="2"/>
        <v>0</v>
      </c>
      <c r="P134" s="784">
        <f t="shared" si="3"/>
        <v>0</v>
      </c>
    </row>
    <row r="135" spans="3:16" ht="12.75">
      <c r="C135" s="780">
        <f>IF(D92="","-",+C134+1)</f>
        <v>2051</v>
      </c>
      <c r="D135" s="728">
        <f t="shared" si="4"/>
        <v>955943.4375</v>
      </c>
      <c r="E135" s="781">
        <f t="shared" si="6"/>
        <v>34242.75</v>
      </c>
      <c r="F135" s="781">
        <f t="shared" si="0"/>
        <v>921700.6875</v>
      </c>
      <c r="G135" s="728">
        <f t="shared" si="5"/>
        <v>938822.0625</v>
      </c>
      <c r="H135" s="786">
        <f>+J93*G135+E135</f>
        <v>138802.41032549538</v>
      </c>
      <c r="I135" s="787">
        <f>+J94*G135+E135</f>
        <v>138802.41032549538</v>
      </c>
      <c r="J135" s="784">
        <f t="shared" si="7"/>
        <v>0</v>
      </c>
      <c r="K135" s="784"/>
      <c r="L135" s="804"/>
      <c r="M135" s="784">
        <f t="shared" si="1"/>
        <v>0</v>
      </c>
      <c r="N135" s="804"/>
      <c r="O135" s="784">
        <f t="shared" si="2"/>
        <v>0</v>
      </c>
      <c r="P135" s="784">
        <f t="shared" si="3"/>
        <v>0</v>
      </c>
    </row>
    <row r="136" spans="3:16" ht="12.75">
      <c r="C136" s="780">
        <f>IF(D92="","-",+C135+1)</f>
        <v>2052</v>
      </c>
      <c r="D136" s="728">
        <f t="shared" si="4"/>
        <v>921700.6875</v>
      </c>
      <c r="E136" s="781">
        <f t="shared" si="6"/>
        <v>34242.75</v>
      </c>
      <c r="F136" s="781">
        <f t="shared" si="0"/>
        <v>887457.9375</v>
      </c>
      <c r="G136" s="728">
        <f t="shared" si="5"/>
        <v>904579.3125</v>
      </c>
      <c r="H136" s="786">
        <f>+J93*G136+E136</f>
        <v>134988.6841130153</v>
      </c>
      <c r="I136" s="787">
        <f>+J94*G136+E136</f>
        <v>134988.6841130153</v>
      </c>
      <c r="J136" s="784">
        <f t="shared" si="7"/>
        <v>0</v>
      </c>
      <c r="K136" s="784"/>
      <c r="L136" s="804"/>
      <c r="M136" s="784">
        <f t="shared" si="1"/>
        <v>0</v>
      </c>
      <c r="N136" s="804"/>
      <c r="O136" s="784">
        <f t="shared" si="2"/>
        <v>0</v>
      </c>
      <c r="P136" s="784">
        <f t="shared" si="3"/>
        <v>0</v>
      </c>
    </row>
    <row r="137" spans="3:16" ht="12.75">
      <c r="C137" s="780">
        <f>IF(D92="","-",+C136+1)</f>
        <v>2053</v>
      </c>
      <c r="D137" s="728">
        <f t="shared" si="4"/>
        <v>887457.9375</v>
      </c>
      <c r="E137" s="781">
        <f t="shared" si="6"/>
        <v>34242.75</v>
      </c>
      <c r="F137" s="781">
        <f t="shared" si="0"/>
        <v>853215.1875</v>
      </c>
      <c r="G137" s="728">
        <f t="shared" si="5"/>
        <v>870336.5625</v>
      </c>
      <c r="H137" s="786">
        <f>+J93*G137+E137</f>
        <v>131174.95790053523</v>
      </c>
      <c r="I137" s="787">
        <f>+J94*G137+E137</f>
        <v>131174.95790053523</v>
      </c>
      <c r="J137" s="784">
        <f t="shared" si="7"/>
        <v>0</v>
      </c>
      <c r="K137" s="784"/>
      <c r="L137" s="804"/>
      <c r="M137" s="784">
        <f t="shared" si="1"/>
        <v>0</v>
      </c>
      <c r="N137" s="804"/>
      <c r="O137" s="784">
        <f t="shared" si="2"/>
        <v>0</v>
      </c>
      <c r="P137" s="784">
        <f t="shared" si="3"/>
        <v>0</v>
      </c>
    </row>
    <row r="138" spans="3:16" ht="12.75">
      <c r="C138" s="780">
        <f>IF(D92="","-",+C137+1)</f>
        <v>2054</v>
      </c>
      <c r="D138" s="728">
        <f t="shared" si="4"/>
        <v>853215.1875</v>
      </c>
      <c r="E138" s="781">
        <f t="shared" si="6"/>
        <v>34242.75</v>
      </c>
      <c r="F138" s="781">
        <f t="shared" si="0"/>
        <v>818972.4375</v>
      </c>
      <c r="G138" s="728">
        <f t="shared" si="5"/>
        <v>836093.8125</v>
      </c>
      <c r="H138" s="786">
        <f>+J93*G138+E138</f>
        <v>127361.23168805515</v>
      </c>
      <c r="I138" s="787">
        <f>+J94*G138+E138</f>
        <v>127361.23168805515</v>
      </c>
      <c r="J138" s="784">
        <f t="shared" si="7"/>
        <v>0</v>
      </c>
      <c r="K138" s="784"/>
      <c r="L138" s="804"/>
      <c r="M138" s="784">
        <f t="shared" si="1"/>
        <v>0</v>
      </c>
      <c r="N138" s="804"/>
      <c r="O138" s="784">
        <f t="shared" si="2"/>
        <v>0</v>
      </c>
      <c r="P138" s="784">
        <f t="shared" si="3"/>
        <v>0</v>
      </c>
    </row>
    <row r="139" spans="3:16" ht="12.75">
      <c r="C139" s="780">
        <f>IF(D92="","-",+C138+1)</f>
        <v>2055</v>
      </c>
      <c r="D139" s="728">
        <f t="shared" si="4"/>
        <v>818972.4375</v>
      </c>
      <c r="E139" s="781">
        <f t="shared" si="6"/>
        <v>34242.75</v>
      </c>
      <c r="F139" s="781">
        <f t="shared" si="0"/>
        <v>784729.6875</v>
      </c>
      <c r="G139" s="728">
        <f t="shared" si="5"/>
        <v>801851.0625</v>
      </c>
      <c r="H139" s="786">
        <f>+J93*G139+E139</f>
        <v>123547.50547557508</v>
      </c>
      <c r="I139" s="787">
        <f>+J94*G139+E139</f>
        <v>123547.50547557508</v>
      </c>
      <c r="J139" s="784">
        <f t="shared" si="7"/>
        <v>0</v>
      </c>
      <c r="K139" s="784"/>
      <c r="L139" s="804"/>
      <c r="M139" s="784">
        <f t="shared" si="1"/>
        <v>0</v>
      </c>
      <c r="N139" s="804"/>
      <c r="O139" s="784">
        <f t="shared" si="2"/>
        <v>0</v>
      </c>
      <c r="P139" s="784">
        <f t="shared" si="3"/>
        <v>0</v>
      </c>
    </row>
    <row r="140" spans="3:16" ht="12.75">
      <c r="C140" s="780">
        <f>IF(D92="","-",+C139+1)</f>
        <v>2056</v>
      </c>
      <c r="D140" s="728">
        <f t="shared" si="4"/>
        <v>784729.6875</v>
      </c>
      <c r="E140" s="781">
        <f t="shared" si="6"/>
        <v>34242.75</v>
      </c>
      <c r="F140" s="781">
        <f t="shared" si="0"/>
        <v>750486.9375</v>
      </c>
      <c r="G140" s="728">
        <f t="shared" si="5"/>
        <v>767608.3125</v>
      </c>
      <c r="H140" s="786">
        <f>+J93*G140+E140</f>
        <v>119733.779263095</v>
      </c>
      <c r="I140" s="787">
        <f>+J94*G140+E140</f>
        <v>119733.779263095</v>
      </c>
      <c r="J140" s="784">
        <f t="shared" si="7"/>
        <v>0</v>
      </c>
      <c r="K140" s="784"/>
      <c r="L140" s="804"/>
      <c r="M140" s="784">
        <f t="shared" si="1"/>
        <v>0</v>
      </c>
      <c r="N140" s="804"/>
      <c r="O140" s="784">
        <f t="shared" si="2"/>
        <v>0</v>
      </c>
      <c r="P140" s="784">
        <f t="shared" si="3"/>
        <v>0</v>
      </c>
    </row>
    <row r="141" spans="3:16" ht="12.75">
      <c r="C141" s="780">
        <f>IF(D92="","-",+C140+1)</f>
        <v>2057</v>
      </c>
      <c r="D141" s="728">
        <f t="shared" si="4"/>
        <v>750486.9375</v>
      </c>
      <c r="E141" s="781">
        <f t="shared" si="6"/>
        <v>34242.75</v>
      </c>
      <c r="F141" s="781">
        <f t="shared" si="0"/>
        <v>716244.1875</v>
      </c>
      <c r="G141" s="728">
        <f t="shared" si="5"/>
        <v>733365.5625</v>
      </c>
      <c r="H141" s="786">
        <f>+J93*G141+E141</f>
        <v>115920.05305061494</v>
      </c>
      <c r="I141" s="787">
        <f>+J94*G141+E141</f>
        <v>115920.05305061494</v>
      </c>
      <c r="J141" s="784">
        <f t="shared" si="7"/>
        <v>0</v>
      </c>
      <c r="K141" s="784"/>
      <c r="L141" s="804"/>
      <c r="M141" s="784">
        <f t="shared" si="1"/>
        <v>0</v>
      </c>
      <c r="N141" s="804"/>
      <c r="O141" s="784">
        <f t="shared" si="2"/>
        <v>0</v>
      </c>
      <c r="P141" s="784">
        <f t="shared" si="3"/>
        <v>0</v>
      </c>
    </row>
    <row r="142" spans="3:16" ht="12.75">
      <c r="C142" s="780">
        <f>IF(D92="","-",+C141+1)</f>
        <v>2058</v>
      </c>
      <c r="D142" s="728">
        <f t="shared" si="4"/>
        <v>716244.1875</v>
      </c>
      <c r="E142" s="781">
        <f t="shared" si="6"/>
        <v>34242.75</v>
      </c>
      <c r="F142" s="781">
        <f t="shared" si="0"/>
        <v>682001.4375</v>
      </c>
      <c r="G142" s="728">
        <f t="shared" si="5"/>
        <v>699122.8125</v>
      </c>
      <c r="H142" s="786">
        <f>+J93*G142+E142</f>
        <v>112106.32683813486</v>
      </c>
      <c r="I142" s="787">
        <f>+J94*G142+E142</f>
        <v>112106.32683813486</v>
      </c>
      <c r="J142" s="784">
        <f t="shared" si="7"/>
        <v>0</v>
      </c>
      <c r="K142" s="784"/>
      <c r="L142" s="804"/>
      <c r="M142" s="784">
        <f t="shared" si="1"/>
        <v>0</v>
      </c>
      <c r="N142" s="804"/>
      <c r="O142" s="784">
        <f t="shared" si="2"/>
        <v>0</v>
      </c>
      <c r="P142" s="784">
        <f t="shared" si="3"/>
        <v>0</v>
      </c>
    </row>
    <row r="143" spans="3:16" ht="12.75">
      <c r="C143" s="780">
        <f>IF(D92="","-",+C142+1)</f>
        <v>2059</v>
      </c>
      <c r="D143" s="728">
        <f t="shared" si="4"/>
        <v>682001.4375</v>
      </c>
      <c r="E143" s="781">
        <f t="shared" si="6"/>
        <v>34242.75</v>
      </c>
      <c r="F143" s="781">
        <f t="shared" si="0"/>
        <v>647758.6875</v>
      </c>
      <c r="G143" s="728">
        <f t="shared" si="5"/>
        <v>664880.0625</v>
      </c>
      <c r="H143" s="786">
        <f>+J93*G143+E143</f>
        <v>108292.60062565478</v>
      </c>
      <c r="I143" s="787">
        <f>+J94*G143+E143</f>
        <v>108292.60062565478</v>
      </c>
      <c r="J143" s="784">
        <f t="shared" si="7"/>
        <v>0</v>
      </c>
      <c r="K143" s="784"/>
      <c r="L143" s="804"/>
      <c r="M143" s="784">
        <f t="shared" si="1"/>
        <v>0</v>
      </c>
      <c r="N143" s="804"/>
      <c r="O143" s="784">
        <f t="shared" si="2"/>
        <v>0</v>
      </c>
      <c r="P143" s="784">
        <f t="shared" si="3"/>
        <v>0</v>
      </c>
    </row>
    <row r="144" spans="3:16" ht="12.75">
      <c r="C144" s="780">
        <f>IF(D92="","-",+C143+1)</f>
        <v>2060</v>
      </c>
      <c r="D144" s="728">
        <f t="shared" si="4"/>
        <v>647758.6875</v>
      </c>
      <c r="E144" s="781">
        <f t="shared" si="6"/>
        <v>34242.75</v>
      </c>
      <c r="F144" s="781">
        <f t="shared" si="0"/>
        <v>613515.9375</v>
      </c>
      <c r="G144" s="728">
        <f t="shared" si="5"/>
        <v>630637.3125</v>
      </c>
      <c r="H144" s="786">
        <f>+J93*G144+E144</f>
        <v>104478.87441317471</v>
      </c>
      <c r="I144" s="787">
        <f>+J94*G144+E144</f>
        <v>104478.87441317471</v>
      </c>
      <c r="J144" s="784">
        <f t="shared" si="7"/>
        <v>0</v>
      </c>
      <c r="K144" s="784"/>
      <c r="L144" s="804"/>
      <c r="M144" s="784">
        <f t="shared" si="1"/>
        <v>0</v>
      </c>
      <c r="N144" s="804"/>
      <c r="O144" s="784">
        <f t="shared" si="2"/>
        <v>0</v>
      </c>
      <c r="P144" s="784">
        <f t="shared" si="3"/>
        <v>0</v>
      </c>
    </row>
    <row r="145" spans="3:16" ht="12.75">
      <c r="C145" s="780">
        <f>IF(D92="","-",+C144+1)</f>
        <v>2061</v>
      </c>
      <c r="D145" s="728">
        <f t="shared" si="4"/>
        <v>613515.9375</v>
      </c>
      <c r="E145" s="781">
        <f t="shared" si="6"/>
        <v>34242.75</v>
      </c>
      <c r="F145" s="781">
        <f t="shared" si="0"/>
        <v>579273.1875</v>
      </c>
      <c r="G145" s="728">
        <f t="shared" si="5"/>
        <v>596394.5625</v>
      </c>
      <c r="H145" s="786">
        <f>+J93*G145+E145</f>
        <v>100665.14820069463</v>
      </c>
      <c r="I145" s="787">
        <f>+J94*G145+E145</f>
        <v>100665.14820069463</v>
      </c>
      <c r="J145" s="784">
        <f t="shared" si="7"/>
        <v>0</v>
      </c>
      <c r="K145" s="784"/>
      <c r="L145" s="804"/>
      <c r="M145" s="784">
        <f t="shared" si="1"/>
        <v>0</v>
      </c>
      <c r="N145" s="804"/>
      <c r="O145" s="784">
        <f t="shared" si="2"/>
        <v>0</v>
      </c>
      <c r="P145" s="784">
        <f t="shared" si="3"/>
        <v>0</v>
      </c>
    </row>
    <row r="146" spans="3:16" ht="12.75">
      <c r="C146" s="780">
        <f>IF(D92="","-",+C145+1)</f>
        <v>2062</v>
      </c>
      <c r="D146" s="728">
        <f t="shared" si="4"/>
        <v>579273.1875</v>
      </c>
      <c r="E146" s="781">
        <f t="shared" si="6"/>
        <v>34242.75</v>
      </c>
      <c r="F146" s="781">
        <f t="shared" si="0"/>
        <v>545030.4375</v>
      </c>
      <c r="G146" s="728">
        <f t="shared" si="5"/>
        <v>562151.8125</v>
      </c>
      <c r="H146" s="786">
        <f>+J93*G146+E146</f>
        <v>96851.42198821456</v>
      </c>
      <c r="I146" s="787">
        <f>+J94*G146+E146</f>
        <v>96851.42198821456</v>
      </c>
      <c r="J146" s="784">
        <f t="shared" si="7"/>
        <v>0</v>
      </c>
      <c r="K146" s="784"/>
      <c r="L146" s="804"/>
      <c r="M146" s="784">
        <f t="shared" si="1"/>
        <v>0</v>
      </c>
      <c r="N146" s="804"/>
      <c r="O146" s="784">
        <f t="shared" si="2"/>
        <v>0</v>
      </c>
      <c r="P146" s="784">
        <f t="shared" si="3"/>
        <v>0</v>
      </c>
    </row>
    <row r="147" spans="3:16" ht="12.75">
      <c r="C147" s="780">
        <f>IF(D92="","-",+C146+1)</f>
        <v>2063</v>
      </c>
      <c r="D147" s="728">
        <f t="shared" si="4"/>
        <v>545030.4375</v>
      </c>
      <c r="E147" s="781">
        <f t="shared" si="6"/>
        <v>34242.75</v>
      </c>
      <c r="F147" s="781">
        <f t="shared" si="0"/>
        <v>510787.6875</v>
      </c>
      <c r="G147" s="728">
        <f t="shared" si="5"/>
        <v>527909.0625</v>
      </c>
      <c r="H147" s="786">
        <f>+J93*G147+E147</f>
        <v>93037.6957757345</v>
      </c>
      <c r="I147" s="787">
        <f>+J94*G147+E147</f>
        <v>93037.6957757345</v>
      </c>
      <c r="J147" s="784">
        <f t="shared" si="7"/>
        <v>0</v>
      </c>
      <c r="K147" s="784"/>
      <c r="L147" s="804"/>
      <c r="M147" s="784">
        <f t="shared" si="1"/>
        <v>0</v>
      </c>
      <c r="N147" s="804"/>
      <c r="O147" s="784">
        <f t="shared" si="2"/>
        <v>0</v>
      </c>
      <c r="P147" s="784">
        <f t="shared" si="3"/>
        <v>0</v>
      </c>
    </row>
    <row r="148" spans="3:16" ht="12.75">
      <c r="C148" s="780">
        <f>IF(D92="","-",+C147+1)</f>
        <v>2064</v>
      </c>
      <c r="D148" s="728">
        <f t="shared" si="4"/>
        <v>510787.6875</v>
      </c>
      <c r="E148" s="781">
        <f t="shared" si="6"/>
        <v>34242.75</v>
      </c>
      <c r="F148" s="781">
        <f t="shared" si="0"/>
        <v>476544.9375</v>
      </c>
      <c r="G148" s="728">
        <f t="shared" si="5"/>
        <v>493666.3125</v>
      </c>
      <c r="H148" s="786">
        <f>+J93*G148+E148</f>
        <v>89223.96956325442</v>
      </c>
      <c r="I148" s="787">
        <f>+J94*G148+E148</f>
        <v>89223.96956325442</v>
      </c>
      <c r="J148" s="784">
        <f t="shared" si="7"/>
        <v>0</v>
      </c>
      <c r="K148" s="784"/>
      <c r="L148" s="804"/>
      <c r="M148" s="784">
        <f t="shared" si="1"/>
        <v>0</v>
      </c>
      <c r="N148" s="804"/>
      <c r="O148" s="784">
        <f t="shared" si="2"/>
        <v>0</v>
      </c>
      <c r="P148" s="784">
        <f t="shared" si="3"/>
        <v>0</v>
      </c>
    </row>
    <row r="149" spans="3:16" ht="12.75">
      <c r="C149" s="780">
        <f>IF(D92="","-",+C148+1)</f>
        <v>2065</v>
      </c>
      <c r="D149" s="728">
        <f t="shared" si="4"/>
        <v>476544.9375</v>
      </c>
      <c r="E149" s="781">
        <f t="shared" si="6"/>
        <v>34242.75</v>
      </c>
      <c r="F149" s="781">
        <f t="shared" si="0"/>
        <v>442302.1875</v>
      </c>
      <c r="G149" s="728">
        <f t="shared" si="5"/>
        <v>459423.5625</v>
      </c>
      <c r="H149" s="786">
        <f>+J93*G149+E149</f>
        <v>85410.24335077434</v>
      </c>
      <c r="I149" s="787">
        <f>+J94*G149+E149</f>
        <v>85410.24335077434</v>
      </c>
      <c r="J149" s="784">
        <f t="shared" si="7"/>
        <v>0</v>
      </c>
      <c r="K149" s="784"/>
      <c r="L149" s="804"/>
      <c r="M149" s="784">
        <f t="shared" si="1"/>
        <v>0</v>
      </c>
      <c r="N149" s="804"/>
      <c r="O149" s="784">
        <f t="shared" si="2"/>
        <v>0</v>
      </c>
      <c r="P149" s="784">
        <f t="shared" si="3"/>
        <v>0</v>
      </c>
    </row>
    <row r="150" spans="3:16" ht="12.75">
      <c r="C150" s="780">
        <f>IF(D92="","-",+C149+1)</f>
        <v>2066</v>
      </c>
      <c r="D150" s="728">
        <f t="shared" si="4"/>
        <v>442302.1875</v>
      </c>
      <c r="E150" s="781">
        <f t="shared" si="6"/>
        <v>34242.75</v>
      </c>
      <c r="F150" s="781">
        <f t="shared" si="0"/>
        <v>408059.4375</v>
      </c>
      <c r="G150" s="728">
        <f t="shared" si="5"/>
        <v>425180.8125</v>
      </c>
      <c r="H150" s="786">
        <f>+J93*G150+E150</f>
        <v>81596.51713829426</v>
      </c>
      <c r="I150" s="787">
        <f>+J94*G150+E150</f>
        <v>81596.51713829426</v>
      </c>
      <c r="J150" s="784">
        <f t="shared" si="7"/>
        <v>0</v>
      </c>
      <c r="K150" s="784"/>
      <c r="L150" s="804"/>
      <c r="M150" s="784">
        <f t="shared" si="1"/>
        <v>0</v>
      </c>
      <c r="N150" s="804"/>
      <c r="O150" s="784">
        <f t="shared" si="2"/>
        <v>0</v>
      </c>
      <c r="P150" s="784">
        <f t="shared" si="3"/>
        <v>0</v>
      </c>
    </row>
    <row r="151" spans="3:16" ht="12.75">
      <c r="C151" s="780">
        <f>IF(D92="","-",+C150+1)</f>
        <v>2067</v>
      </c>
      <c r="D151" s="728">
        <f t="shared" si="4"/>
        <v>408059.4375</v>
      </c>
      <c r="E151" s="781">
        <f t="shared" si="6"/>
        <v>34242.75</v>
      </c>
      <c r="F151" s="781">
        <f t="shared" si="0"/>
        <v>373816.6875</v>
      </c>
      <c r="G151" s="728">
        <f t="shared" si="5"/>
        <v>390938.0625</v>
      </c>
      <c r="H151" s="786">
        <f>+J93*G151+E151</f>
        <v>77782.79092581419</v>
      </c>
      <c r="I151" s="787">
        <f>+J94*G151+E151</f>
        <v>77782.79092581419</v>
      </c>
      <c r="J151" s="784">
        <f t="shared" si="7"/>
        <v>0</v>
      </c>
      <c r="K151" s="784"/>
      <c r="L151" s="804"/>
      <c r="M151" s="784">
        <f t="shared" si="1"/>
        <v>0</v>
      </c>
      <c r="N151" s="804"/>
      <c r="O151" s="784">
        <f t="shared" si="2"/>
        <v>0</v>
      </c>
      <c r="P151" s="784">
        <f t="shared" si="3"/>
        <v>0</v>
      </c>
    </row>
    <row r="152" spans="3:16" ht="12.75">
      <c r="C152" s="780">
        <f>IF(D92="","-",+C151+1)</f>
        <v>2068</v>
      </c>
      <c r="D152" s="728">
        <f>F151</f>
        <v>373816.6875</v>
      </c>
      <c r="E152" s="781">
        <f t="shared" si="6"/>
        <v>34242.75</v>
      </c>
      <c r="F152" s="781">
        <f t="shared" si="0"/>
        <v>339573.9375</v>
      </c>
      <c r="G152" s="728">
        <f t="shared" si="5"/>
        <v>356695.3125</v>
      </c>
      <c r="H152" s="786">
        <f>+J93*G152+E152</f>
        <v>73969.06471333411</v>
      </c>
      <c r="I152" s="787">
        <f>+J94*G152+E152</f>
        <v>73969.06471333411</v>
      </c>
      <c r="J152" s="784">
        <f t="shared" si="7"/>
        <v>0</v>
      </c>
      <c r="K152" s="784"/>
      <c r="L152" s="804"/>
      <c r="M152" s="784">
        <f t="shared" si="1"/>
        <v>0</v>
      </c>
      <c r="N152" s="804"/>
      <c r="O152" s="784">
        <f t="shared" si="2"/>
        <v>0</v>
      </c>
      <c r="P152" s="784">
        <f t="shared" si="3"/>
        <v>0</v>
      </c>
    </row>
    <row r="153" spans="3:16" ht="12.75">
      <c r="C153" s="780">
        <f>IF(D92="","-",+C152+1)</f>
        <v>2069</v>
      </c>
      <c r="D153" s="728">
        <f t="shared" si="4"/>
        <v>339573.9375</v>
      </c>
      <c r="E153" s="781">
        <f t="shared" si="6"/>
        <v>34242.75</v>
      </c>
      <c r="F153" s="781">
        <f t="shared" si="0"/>
        <v>305331.1875</v>
      </c>
      <c r="G153" s="728">
        <f t="shared" si="5"/>
        <v>322452.5625</v>
      </c>
      <c r="H153" s="786">
        <f>+J93*G153+E153</f>
        <v>70155.33850085404</v>
      </c>
      <c r="I153" s="787">
        <f>+J94*G153+E153</f>
        <v>70155.33850085404</v>
      </c>
      <c r="J153" s="784">
        <f t="shared" si="7"/>
        <v>0</v>
      </c>
      <c r="K153" s="784"/>
      <c r="L153" s="804"/>
      <c r="M153" s="784">
        <f t="shared" si="1"/>
        <v>0</v>
      </c>
      <c r="N153" s="804"/>
      <c r="O153" s="784">
        <f t="shared" si="2"/>
        <v>0</v>
      </c>
      <c r="P153" s="784">
        <f t="shared" si="3"/>
        <v>0</v>
      </c>
    </row>
    <row r="154" spans="3:16" ht="12.75">
      <c r="C154" s="780">
        <f>IF(D92="","-",+C153+1)</f>
        <v>2070</v>
      </c>
      <c r="D154" s="728">
        <f t="shared" si="4"/>
        <v>305331.1875</v>
      </c>
      <c r="E154" s="781">
        <f t="shared" si="6"/>
        <v>34242.75</v>
      </c>
      <c r="F154" s="781">
        <f t="shared" si="0"/>
        <v>271088.4375</v>
      </c>
      <c r="G154" s="728">
        <f t="shared" si="5"/>
        <v>288209.8125</v>
      </c>
      <c r="H154" s="786">
        <f>+J93*G154+E154</f>
        <v>66341.61228837396</v>
      </c>
      <c r="I154" s="787">
        <f>+J94*G154+E154</f>
        <v>66341.61228837396</v>
      </c>
      <c r="J154" s="784">
        <f t="shared" si="7"/>
        <v>0</v>
      </c>
      <c r="K154" s="784"/>
      <c r="L154" s="804"/>
      <c r="M154" s="784">
        <f t="shared" si="1"/>
        <v>0</v>
      </c>
      <c r="N154" s="804"/>
      <c r="O154" s="784">
        <f t="shared" si="2"/>
        <v>0</v>
      </c>
      <c r="P154" s="784">
        <f t="shared" si="3"/>
        <v>0</v>
      </c>
    </row>
    <row r="155" spans="3:16" ht="12.75">
      <c r="C155" s="780">
        <f>IF(D92="","-",+C154+1)</f>
        <v>2071</v>
      </c>
      <c r="D155" s="728">
        <f t="shared" si="4"/>
        <v>271088.4375</v>
      </c>
      <c r="E155" s="781">
        <f t="shared" si="6"/>
        <v>34242.75</v>
      </c>
      <c r="F155" s="781">
        <f t="shared" si="0"/>
        <v>236845.6875</v>
      </c>
      <c r="G155" s="728">
        <f t="shared" si="5"/>
        <v>253967.0625</v>
      </c>
      <c r="H155" s="786">
        <f>+J93*G155+E155</f>
        <v>62527.88607589388</v>
      </c>
      <c r="I155" s="787">
        <f>+J94*G155+E155</f>
        <v>62527.88607589388</v>
      </c>
      <c r="J155" s="784">
        <f t="shared" si="7"/>
        <v>0</v>
      </c>
      <c r="K155" s="784"/>
      <c r="L155" s="804"/>
      <c r="M155" s="784">
        <f t="shared" si="1"/>
        <v>0</v>
      </c>
      <c r="N155" s="804"/>
      <c r="O155" s="784">
        <f t="shared" si="2"/>
        <v>0</v>
      </c>
      <c r="P155" s="784">
        <f t="shared" si="3"/>
        <v>0</v>
      </c>
    </row>
    <row r="156" spans="3:16" ht="12.75">
      <c r="C156" s="780">
        <f>IF(D92="","-",+C155+1)</f>
        <v>2072</v>
      </c>
      <c r="D156" s="728">
        <f t="shared" si="4"/>
        <v>236845.6875</v>
      </c>
      <c r="E156" s="781">
        <f t="shared" si="6"/>
        <v>34242.75</v>
      </c>
      <c r="F156" s="781">
        <f t="shared" si="0"/>
        <v>202602.9375</v>
      </c>
      <c r="G156" s="728">
        <f t="shared" si="5"/>
        <v>219724.3125</v>
      </c>
      <c r="H156" s="786">
        <f>+J93*G156+E156</f>
        <v>58714.15986341381</v>
      </c>
      <c r="I156" s="787">
        <f>+J94*G156+E156</f>
        <v>58714.15986341381</v>
      </c>
      <c r="J156" s="784">
        <f t="shared" si="7"/>
        <v>0</v>
      </c>
      <c r="K156" s="784"/>
      <c r="L156" s="804"/>
      <c r="M156" s="784">
        <f t="shared" si="1"/>
        <v>0</v>
      </c>
      <c r="N156" s="804"/>
      <c r="O156" s="784">
        <f t="shared" si="2"/>
        <v>0</v>
      </c>
      <c r="P156" s="784">
        <f t="shared" si="3"/>
        <v>0</v>
      </c>
    </row>
    <row r="157" spans="3:16" ht="13.5" thickBot="1">
      <c r="C157" s="790">
        <f>IF(D92="","-",+C156+1)</f>
        <v>2073</v>
      </c>
      <c r="D157" s="791">
        <f t="shared" si="4"/>
        <v>202602.9375</v>
      </c>
      <c r="E157" s="792">
        <f t="shared" si="6"/>
        <v>34242.75</v>
      </c>
      <c r="F157" s="792">
        <f t="shared" si="0"/>
        <v>168360.1875</v>
      </c>
      <c r="G157" s="791">
        <f t="shared" si="5"/>
        <v>185481.5625</v>
      </c>
      <c r="H157" s="793">
        <f>+J93*G157+E157</f>
        <v>54900.43365093374</v>
      </c>
      <c r="I157" s="793">
        <f>+J94*G157+E157</f>
        <v>54900.43365093374</v>
      </c>
      <c r="J157" s="794">
        <f t="shared" si="7"/>
        <v>0</v>
      </c>
      <c r="K157" s="784"/>
      <c r="L157" s="805"/>
      <c r="M157" s="794">
        <f t="shared" si="1"/>
        <v>0</v>
      </c>
      <c r="N157" s="805"/>
      <c r="O157" s="794">
        <f t="shared" si="2"/>
        <v>0</v>
      </c>
      <c r="P157" s="794">
        <f t="shared" si="3"/>
        <v>0</v>
      </c>
    </row>
    <row r="158" spans="3:15" ht="12.75">
      <c r="C158" s="728" t="s">
        <v>92</v>
      </c>
      <c r="D158" s="722"/>
      <c r="E158" s="722">
        <f>SUM(E98:E157)</f>
        <v>2023175.8125</v>
      </c>
      <c r="F158" s="722"/>
      <c r="G158" s="722"/>
      <c r="H158" s="722">
        <f>SUM(H98:H157)</f>
        <v>10011184.269798372</v>
      </c>
      <c r="I158" s="722">
        <f>SUM(I98:I157)</f>
        <v>10011184.269798372</v>
      </c>
      <c r="J158" s="722">
        <f>SUM(J98:J157)</f>
        <v>0</v>
      </c>
      <c r="K158" s="722"/>
      <c r="L158" s="722"/>
      <c r="M158" s="722"/>
      <c r="N158" s="722"/>
      <c r="O158" s="722"/>
    </row>
    <row r="159" spans="4:15" ht="12.75">
      <c r="D159" s="532"/>
      <c r="E159" s="308"/>
      <c r="F159" s="308"/>
      <c r="G159" s="308"/>
      <c r="H159" s="308"/>
      <c r="I159" s="701"/>
      <c r="J159" s="701"/>
      <c r="K159" s="722"/>
      <c r="L159" s="701"/>
      <c r="M159" s="701"/>
      <c r="N159" s="701"/>
      <c r="O159" s="701"/>
    </row>
    <row r="160" spans="3:15" ht="12.75">
      <c r="C160" s="308" t="s">
        <v>14</v>
      </c>
      <c r="D160" s="532"/>
      <c r="E160" s="308"/>
      <c r="F160" s="308"/>
      <c r="G160" s="308"/>
      <c r="H160" s="308"/>
      <c r="I160" s="701"/>
      <c r="J160" s="701"/>
      <c r="K160" s="722"/>
      <c r="L160" s="701"/>
      <c r="M160" s="701"/>
      <c r="N160" s="701"/>
      <c r="O160" s="701"/>
    </row>
    <row r="161" spans="3:15" ht="12.75">
      <c r="C161" s="308"/>
      <c r="D161" s="532"/>
      <c r="E161" s="308"/>
      <c r="F161" s="308"/>
      <c r="G161" s="308"/>
      <c r="H161" s="308"/>
      <c r="I161" s="701"/>
      <c r="J161" s="701"/>
      <c r="K161" s="722"/>
      <c r="L161" s="701"/>
      <c r="M161" s="701"/>
      <c r="N161" s="701"/>
      <c r="O161" s="701"/>
    </row>
    <row r="162" spans="3:15" ht="12.75">
      <c r="C162" s="741" t="s">
        <v>15</v>
      </c>
      <c r="D162" s="728"/>
      <c r="E162" s="728"/>
      <c r="F162" s="728"/>
      <c r="G162" s="728"/>
      <c r="H162" s="722"/>
      <c r="I162" s="722"/>
      <c r="J162" s="796"/>
      <c r="K162" s="796"/>
      <c r="L162" s="796"/>
      <c r="M162" s="796"/>
      <c r="N162" s="796"/>
      <c r="O162" s="796"/>
    </row>
    <row r="163" spans="3:15" ht="12.75">
      <c r="C163" s="727" t="s">
        <v>272</v>
      </c>
      <c r="D163" s="728"/>
      <c r="E163" s="728"/>
      <c r="F163" s="728"/>
      <c r="G163" s="728"/>
      <c r="H163" s="722"/>
      <c r="I163" s="722"/>
      <c r="J163" s="796"/>
      <c r="K163" s="796"/>
      <c r="L163" s="796"/>
      <c r="M163" s="796"/>
      <c r="N163" s="796"/>
      <c r="O163" s="796"/>
    </row>
    <row r="164" spans="3:15" ht="12.75">
      <c r="C164" s="727" t="s">
        <v>93</v>
      </c>
      <c r="D164" s="728"/>
      <c r="E164" s="728"/>
      <c r="F164" s="728"/>
      <c r="G164" s="728"/>
      <c r="H164" s="722"/>
      <c r="I164" s="722"/>
      <c r="J164" s="796"/>
      <c r="K164" s="796"/>
      <c r="L164" s="796"/>
      <c r="M164" s="796"/>
      <c r="N164" s="796"/>
      <c r="O164" s="796"/>
    </row>
    <row r="165" spans="1:17" ht="20.25">
      <c r="A165" s="729" t="str">
        <f>""&amp;A90&amp;" Worksheet K -  ATRR TRUE-UP Calculation for PJM Projects Charged to Benefiting Zones"</f>
        <v> Worksheet K -  ATRR TRUE-UP Calculation for PJM Projects Charged to Benefiting Zones</v>
      </c>
      <c r="B165" s="341"/>
      <c r="C165" s="717"/>
      <c r="D165" s="532"/>
      <c r="E165" s="308"/>
      <c r="F165" s="700"/>
      <c r="G165" s="700"/>
      <c r="H165" s="308"/>
      <c r="I165" s="701"/>
      <c r="L165" s="557"/>
      <c r="M165" s="557"/>
      <c r="N165" s="557"/>
      <c r="O165" s="646" t="str">
        <f>"Page "&amp;SUM(Q$6:Q165)&amp;" of "</f>
        <v>Page 3 of </v>
      </c>
      <c r="P165" s="647">
        <f>COUNT(Q$6:Q$58387)</f>
        <v>12</v>
      </c>
      <c r="Q165" s="730">
        <v>1</v>
      </c>
    </row>
    <row r="166" spans="2:11" ht="12.75">
      <c r="B166" s="341"/>
      <c r="C166" s="308"/>
      <c r="D166" s="532"/>
      <c r="E166" s="308"/>
      <c r="F166" s="308"/>
      <c r="G166" s="308"/>
      <c r="H166" s="308"/>
      <c r="I166" s="701"/>
      <c r="J166" s="308"/>
      <c r="K166" s="420"/>
    </row>
    <row r="167" spans="2:17" ht="18">
      <c r="B167" s="650" t="s">
        <v>475</v>
      </c>
      <c r="C167" s="731" t="s">
        <v>94</v>
      </c>
      <c r="D167" s="532"/>
      <c r="E167" s="308"/>
      <c r="F167" s="308"/>
      <c r="G167" s="308"/>
      <c r="H167" s="308"/>
      <c r="I167" s="701"/>
      <c r="J167" s="701"/>
      <c r="K167" s="722"/>
      <c r="L167" s="701"/>
      <c r="M167" s="701"/>
      <c r="N167" s="701"/>
      <c r="O167" s="701"/>
      <c r="Q167" s="420"/>
    </row>
    <row r="168" spans="2:15" ht="18.75">
      <c r="B168" s="650"/>
      <c r="C168" s="649"/>
      <c r="D168" s="532"/>
      <c r="E168" s="308"/>
      <c r="F168" s="308"/>
      <c r="G168" s="308"/>
      <c r="H168" s="308"/>
      <c r="I168" s="701"/>
      <c r="J168" s="701"/>
      <c r="K168" s="722"/>
      <c r="L168" s="701"/>
      <c r="M168" s="701"/>
      <c r="N168" s="701"/>
      <c r="O168" s="701"/>
    </row>
    <row r="169" spans="2:15" ht="18.75">
      <c r="B169" s="650"/>
      <c r="C169" s="649" t="s">
        <v>95</v>
      </c>
      <c r="D169" s="532"/>
      <c r="E169" s="308"/>
      <c r="F169" s="308"/>
      <c r="G169" s="308"/>
      <c r="H169" s="308"/>
      <c r="I169" s="701"/>
      <c r="J169" s="701"/>
      <c r="K169" s="722"/>
      <c r="L169" s="701"/>
      <c r="M169" s="701"/>
      <c r="N169" s="701"/>
      <c r="O169" s="701"/>
    </row>
    <row r="170" spans="3:15" ht="15.75" thickBot="1">
      <c r="C170" s="236"/>
      <c r="D170" s="532"/>
      <c r="E170" s="308"/>
      <c r="F170" s="308"/>
      <c r="G170" s="308"/>
      <c r="H170" s="308"/>
      <c r="I170" s="701"/>
      <c r="J170" s="701"/>
      <c r="K170" s="722"/>
      <c r="L170" s="701"/>
      <c r="M170" s="701"/>
      <c r="N170" s="701"/>
      <c r="O170" s="701"/>
    </row>
    <row r="171" spans="3:15" ht="15.75">
      <c r="C171" s="652" t="s">
        <v>96</v>
      </c>
      <c r="D171" s="532"/>
      <c r="E171" s="308"/>
      <c r="F171" s="308"/>
      <c r="G171" s="308"/>
      <c r="H171" s="798"/>
      <c r="I171" s="308" t="s">
        <v>75</v>
      </c>
      <c r="J171" s="308"/>
      <c r="K171" s="420"/>
      <c r="L171" s="827">
        <f>+J177</f>
        <v>2017</v>
      </c>
      <c r="M171" s="808" t="s">
        <v>53</v>
      </c>
      <c r="N171" s="808" t="s">
        <v>54</v>
      </c>
      <c r="O171" s="809" t="s">
        <v>56</v>
      </c>
    </row>
    <row r="172" spans="3:15" ht="15.75">
      <c r="C172" s="652"/>
      <c r="D172" s="532"/>
      <c r="E172" s="308"/>
      <c r="F172" s="308"/>
      <c r="H172" s="308"/>
      <c r="I172" s="736"/>
      <c r="J172" s="736"/>
      <c r="K172" s="737"/>
      <c r="L172" s="828" t="s">
        <v>244</v>
      </c>
      <c r="M172" s="829">
        <f>VLOOKUP(J177,C184:P243,10)</f>
        <v>10531029</v>
      </c>
      <c r="N172" s="829">
        <f>VLOOKUP(J177,C184:P243,12)</f>
        <v>10531029</v>
      </c>
      <c r="O172" s="830">
        <f>+N172-M172</f>
        <v>0</v>
      </c>
    </row>
    <row r="173" spans="3:15" ht="12.75">
      <c r="C173" s="741" t="s">
        <v>97</v>
      </c>
      <c r="D173" s="1472" t="s">
        <v>916</v>
      </c>
      <c r="E173" s="1472"/>
      <c r="F173" s="1472"/>
      <c r="G173" s="1472"/>
      <c r="H173" s="1472"/>
      <c r="I173" s="1472"/>
      <c r="J173" s="701"/>
      <c r="K173" s="722"/>
      <c r="L173" s="828" t="s">
        <v>245</v>
      </c>
      <c r="M173" s="831">
        <f>VLOOKUP(J177,C184:P243,6)</f>
        <v>10382169.976320762</v>
      </c>
      <c r="N173" s="831">
        <f>VLOOKUP(J177,C184:P243,7)</f>
        <v>10382169.976320762</v>
      </c>
      <c r="O173" s="832">
        <f>+N173-M173</f>
        <v>0</v>
      </c>
    </row>
    <row r="174" spans="3:15" ht="13.5" thickBot="1">
      <c r="C174" s="745"/>
      <c r="D174" s="1472"/>
      <c r="E174" s="1472"/>
      <c r="F174" s="1472"/>
      <c r="G174" s="1472"/>
      <c r="H174" s="1472"/>
      <c r="I174" s="1472"/>
      <c r="J174" s="701"/>
      <c r="K174" s="722"/>
      <c r="L174" s="764" t="s">
        <v>246</v>
      </c>
      <c r="M174" s="833">
        <f>+M173-M172</f>
        <v>-148859.0236792378</v>
      </c>
      <c r="N174" s="833">
        <f>+N173-N172</f>
        <v>-148859.0236792378</v>
      </c>
      <c r="O174" s="834">
        <f>+O173-O172</f>
        <v>0</v>
      </c>
    </row>
    <row r="175" spans="3:16" ht="13.5" thickBot="1">
      <c r="C175" s="748"/>
      <c r="D175" s="749"/>
      <c r="E175" s="747"/>
      <c r="F175" s="747"/>
      <c r="G175" s="747"/>
      <c r="H175" s="747"/>
      <c r="I175" s="747"/>
      <c r="J175" s="747"/>
      <c r="K175" s="750"/>
      <c r="L175" s="747"/>
      <c r="M175" s="747"/>
      <c r="N175" s="747"/>
      <c r="O175" s="747"/>
      <c r="P175" s="341"/>
    </row>
    <row r="176" spans="3:16" ht="13.5" thickBot="1">
      <c r="C176" s="751" t="s">
        <v>98</v>
      </c>
      <c r="D176" s="752"/>
      <c r="E176" s="752"/>
      <c r="F176" s="752"/>
      <c r="G176" s="752"/>
      <c r="H176" s="752"/>
      <c r="I176" s="752"/>
      <c r="J176" s="752"/>
      <c r="K176" s="754"/>
      <c r="P176" s="755"/>
    </row>
    <row r="177" spans="3:16" ht="15">
      <c r="C177" s="756" t="s">
        <v>76</v>
      </c>
      <c r="D177" s="1359">
        <v>85052585</v>
      </c>
      <c r="E177" s="717" t="s">
        <v>77</v>
      </c>
      <c r="H177" s="757"/>
      <c r="I177" s="757"/>
      <c r="J177" s="758">
        <v>2017</v>
      </c>
      <c r="K177" s="548"/>
      <c r="L177" s="1462" t="s">
        <v>78</v>
      </c>
      <c r="M177" s="1462"/>
      <c r="N177" s="1462"/>
      <c r="O177" s="1462"/>
      <c r="P177" s="420"/>
    </row>
    <row r="178" spans="3:16" ht="12.75">
      <c r="C178" s="756" t="s">
        <v>79</v>
      </c>
      <c r="D178" s="1360">
        <v>2014</v>
      </c>
      <c r="E178" s="756" t="s">
        <v>80</v>
      </c>
      <c r="F178" s="757"/>
      <c r="G178" s="757"/>
      <c r="I178" s="169"/>
      <c r="J178" s="802">
        <f>IF(H171="",0,$F$15)</f>
        <v>0</v>
      </c>
      <c r="K178" s="759"/>
      <c r="L178" s="722" t="s">
        <v>286</v>
      </c>
      <c r="P178" s="420"/>
    </row>
    <row r="179" spans="3:16" ht="12.75">
      <c r="C179" s="756" t="s">
        <v>81</v>
      </c>
      <c r="D179" s="1359">
        <v>8</v>
      </c>
      <c r="E179" s="756" t="s">
        <v>82</v>
      </c>
      <c r="F179" s="757"/>
      <c r="G179" s="757"/>
      <c r="I179" s="169"/>
      <c r="J179" s="760">
        <f>$F$68</f>
        <v>0.11137324579597359</v>
      </c>
      <c r="K179" s="761"/>
      <c r="L179" s="308" t="str">
        <f>"          INPUT TRUE-UP ARR (WITH &amp; WITHOUT INCENTIVES) FROM EACH PRIOR YEAR"</f>
        <v>          INPUT TRUE-UP ARR (WITH &amp; WITHOUT INCENTIVES) FROM EACH PRIOR YEAR</v>
      </c>
      <c r="P179" s="420"/>
    </row>
    <row r="180" spans="3:16" ht="12.75">
      <c r="C180" s="756" t="s">
        <v>83</v>
      </c>
      <c r="D180" s="762">
        <f>H$77</f>
        <v>64</v>
      </c>
      <c r="E180" s="756" t="s">
        <v>84</v>
      </c>
      <c r="F180" s="757"/>
      <c r="G180" s="757"/>
      <c r="I180" s="169"/>
      <c r="J180" s="760">
        <f>IF(H171="",+J179,$F$67)</f>
        <v>0.11137324579597359</v>
      </c>
      <c r="K180" s="763"/>
      <c r="L180" s="308" t="s">
        <v>166</v>
      </c>
      <c r="M180" s="763"/>
      <c r="N180" s="763"/>
      <c r="O180" s="763"/>
      <c r="P180" s="420"/>
    </row>
    <row r="181" spans="3:16" ht="13.5" thickBot="1">
      <c r="C181" s="756" t="s">
        <v>85</v>
      </c>
      <c r="D181" s="799" t="s">
        <v>877</v>
      </c>
      <c r="E181" s="764" t="s">
        <v>86</v>
      </c>
      <c r="F181" s="765"/>
      <c r="G181" s="765"/>
      <c r="H181" s="766"/>
      <c r="I181" s="766"/>
      <c r="J181" s="744">
        <f>IF(D177=0,0,D177/D180)</f>
        <v>1328946.640625</v>
      </c>
      <c r="K181" s="722"/>
      <c r="L181" s="722" t="s">
        <v>167</v>
      </c>
      <c r="M181" s="722"/>
      <c r="N181" s="722"/>
      <c r="O181" s="722"/>
      <c r="P181" s="420"/>
    </row>
    <row r="182" spans="2:16" ht="38.25">
      <c r="B182" s="837"/>
      <c r="C182" s="767" t="s">
        <v>76</v>
      </c>
      <c r="D182" s="768" t="s">
        <v>87</v>
      </c>
      <c r="E182" s="769" t="s">
        <v>88</v>
      </c>
      <c r="F182" s="768" t="s">
        <v>89</v>
      </c>
      <c r="G182" s="768" t="s">
        <v>247</v>
      </c>
      <c r="H182" s="769" t="s">
        <v>160</v>
      </c>
      <c r="I182" s="770" t="s">
        <v>160</v>
      </c>
      <c r="J182" s="767" t="s">
        <v>99</v>
      </c>
      <c r="K182" s="771"/>
      <c r="L182" s="769" t="s">
        <v>162</v>
      </c>
      <c r="M182" s="769" t="s">
        <v>168</v>
      </c>
      <c r="N182" s="769" t="s">
        <v>162</v>
      </c>
      <c r="O182" s="769" t="s">
        <v>170</v>
      </c>
      <c r="P182" s="769" t="s">
        <v>90</v>
      </c>
    </row>
    <row r="183" spans="3:16" ht="13.5" thickBot="1">
      <c r="C183" s="773" t="s">
        <v>478</v>
      </c>
      <c r="D183" s="774" t="s">
        <v>479</v>
      </c>
      <c r="E183" s="773" t="s">
        <v>372</v>
      </c>
      <c r="F183" s="774" t="s">
        <v>479</v>
      </c>
      <c r="G183" s="774" t="s">
        <v>479</v>
      </c>
      <c r="H183" s="775" t="s">
        <v>102</v>
      </c>
      <c r="I183" s="776" t="s">
        <v>104</v>
      </c>
      <c r="J183" s="777" t="s">
        <v>16</v>
      </c>
      <c r="K183" s="778"/>
      <c r="L183" s="775" t="s">
        <v>91</v>
      </c>
      <c r="M183" s="775" t="s">
        <v>91</v>
      </c>
      <c r="N183" s="775" t="s">
        <v>264</v>
      </c>
      <c r="O183" s="775" t="s">
        <v>264</v>
      </c>
      <c r="P183" s="775" t="s">
        <v>264</v>
      </c>
    </row>
    <row r="184" spans="3:16" ht="12.75">
      <c r="C184" s="780">
        <f>IF(D178="","-",D178)</f>
        <v>2014</v>
      </c>
      <c r="D184" s="728">
        <f>+D177</f>
        <v>85052585</v>
      </c>
      <c r="E184" s="786">
        <f>+J181/12*(12-D179)</f>
        <v>442982.2135416667</v>
      </c>
      <c r="F184" s="835">
        <f aca="true" t="shared" si="8" ref="F184:F243">+D184-E184</f>
        <v>84609602.78645833</v>
      </c>
      <c r="G184" s="728">
        <f>+(D184+F184)/2</f>
        <v>84831093.89322916</v>
      </c>
      <c r="H184" s="782">
        <f>+J179*G184+E184</f>
        <v>9890896.484853592</v>
      </c>
      <c r="I184" s="783">
        <f>+J180*G184+E184</f>
        <v>9890896.484853592</v>
      </c>
      <c r="J184" s="784">
        <f>+I184-H184</f>
        <v>0</v>
      </c>
      <c r="K184" s="784"/>
      <c r="L184" s="803">
        <v>2795819</v>
      </c>
      <c r="M184" s="836">
        <f aca="true" t="shared" si="9" ref="M184:M243">IF(L184&lt;&gt;0,+H184-L184,0)</f>
        <v>7095077.484853592</v>
      </c>
      <c r="N184" s="803">
        <v>2795819</v>
      </c>
      <c r="O184" s="836">
        <f aca="true" t="shared" si="10" ref="O184:O243">IF(N184&lt;&gt;0,+I184-N184,0)</f>
        <v>7095077.484853592</v>
      </c>
      <c r="P184" s="836">
        <f aca="true" t="shared" si="11" ref="P184:P243">+O184-M184</f>
        <v>0</v>
      </c>
    </row>
    <row r="185" spans="3:16" ht="12.75">
      <c r="C185" s="780">
        <f>IF(D178="","-",+C184+1)</f>
        <v>2015</v>
      </c>
      <c r="D185" s="728">
        <f aca="true" t="shared" si="12" ref="D185:D237">F184</f>
        <v>84609602.78645833</v>
      </c>
      <c r="E185" s="781">
        <f>IF(D185&gt;$J$181,$J$181,D185)</f>
        <v>1328946.640625</v>
      </c>
      <c r="F185" s="781">
        <f t="shared" si="8"/>
        <v>83280656.14583333</v>
      </c>
      <c r="G185" s="728">
        <f aca="true" t="shared" si="13" ref="G185:G243">+(D185+F185)/2</f>
        <v>83945129.46614583</v>
      </c>
      <c r="H185" s="786">
        <f>+J179*G185+E185</f>
        <v>10678188.178032884</v>
      </c>
      <c r="I185" s="787">
        <f>+J180*G185+E185</f>
        <v>10678188.178032884</v>
      </c>
      <c r="J185" s="784">
        <f>+I185-H185</f>
        <v>0</v>
      </c>
      <c r="K185" s="784"/>
      <c r="L185" s="804">
        <v>9963550</v>
      </c>
      <c r="M185" s="784">
        <f t="shared" si="9"/>
        <v>714638.1780328844</v>
      </c>
      <c r="N185" s="804">
        <v>9963550</v>
      </c>
      <c r="O185" s="784">
        <f t="shared" si="10"/>
        <v>714638.1780328844</v>
      </c>
      <c r="P185" s="784">
        <f t="shared" si="11"/>
        <v>0</v>
      </c>
    </row>
    <row r="186" spans="3:16" ht="12.75">
      <c r="C186" s="780">
        <f>IF(D178="","-",+C185+1)</f>
        <v>2016</v>
      </c>
      <c r="D186" s="728">
        <f t="shared" si="12"/>
        <v>83280656.14583333</v>
      </c>
      <c r="E186" s="781">
        <f aca="true" t="shared" si="14" ref="E186:E243">IF(D186&gt;$J$181,$J$181,D186)</f>
        <v>1328946.640625</v>
      </c>
      <c r="F186" s="781">
        <f t="shared" si="8"/>
        <v>81951709.50520833</v>
      </c>
      <c r="G186" s="728">
        <f t="shared" si="13"/>
        <v>82616182.82552083</v>
      </c>
      <c r="H186" s="786">
        <f>+J179*G186+E186</f>
        <v>10530179.077176822</v>
      </c>
      <c r="I186" s="787">
        <f>+J180*G186+E186</f>
        <v>10530179.077176822</v>
      </c>
      <c r="J186" s="784">
        <f aca="true" t="shared" si="15" ref="J186:J243">+I186-H186</f>
        <v>0</v>
      </c>
      <c r="K186" s="784"/>
      <c r="L186" s="804">
        <v>9645772</v>
      </c>
      <c r="M186" s="784">
        <f t="shared" si="9"/>
        <v>884407.0771768223</v>
      </c>
      <c r="N186" s="804">
        <v>9645772</v>
      </c>
      <c r="O186" s="784">
        <f t="shared" si="10"/>
        <v>884407.0771768223</v>
      </c>
      <c r="P186" s="784">
        <f t="shared" si="11"/>
        <v>0</v>
      </c>
    </row>
    <row r="187" spans="3:16" ht="12.75">
      <c r="C187" s="1361">
        <f>IF(D178="","-",+C186+1)</f>
        <v>2017</v>
      </c>
      <c r="D187" s="728">
        <f t="shared" si="12"/>
        <v>81951709.50520833</v>
      </c>
      <c r="E187" s="781">
        <f t="shared" si="14"/>
        <v>1328946.640625</v>
      </c>
      <c r="F187" s="781">
        <f t="shared" si="8"/>
        <v>80622762.86458333</v>
      </c>
      <c r="G187" s="728">
        <f t="shared" si="13"/>
        <v>81287236.18489583</v>
      </c>
      <c r="H187" s="786">
        <f>+J179*G187+E187</f>
        <v>10382169.976320762</v>
      </c>
      <c r="I187" s="787">
        <f>+J180*G187+E187</f>
        <v>10382169.976320762</v>
      </c>
      <c r="J187" s="784">
        <f t="shared" si="15"/>
        <v>0</v>
      </c>
      <c r="K187" s="784"/>
      <c r="L187" s="804">
        <v>10531029</v>
      </c>
      <c r="M187" s="784">
        <f t="shared" si="9"/>
        <v>-148859.0236792378</v>
      </c>
      <c r="N187" s="804">
        <v>10531029</v>
      </c>
      <c r="O187" s="784">
        <f t="shared" si="10"/>
        <v>-148859.0236792378</v>
      </c>
      <c r="P187" s="784">
        <f t="shared" si="11"/>
        <v>0</v>
      </c>
    </row>
    <row r="188" spans="3:16" ht="12.75">
      <c r="C188" s="1308">
        <f>IF(D178="","-",+C187+1)</f>
        <v>2018</v>
      </c>
      <c r="D188" s="728">
        <f t="shared" si="12"/>
        <v>80622762.86458333</v>
      </c>
      <c r="E188" s="781">
        <f t="shared" si="14"/>
        <v>1328946.640625</v>
      </c>
      <c r="F188" s="781">
        <f t="shared" si="8"/>
        <v>79293816.22395833</v>
      </c>
      <c r="G188" s="728">
        <f t="shared" si="13"/>
        <v>79958289.54427083</v>
      </c>
      <c r="H188" s="786">
        <f>+J179*G188+E188</f>
        <v>10234160.8754647</v>
      </c>
      <c r="I188" s="787">
        <f>+J180*G188+E188</f>
        <v>10234160.8754647</v>
      </c>
      <c r="J188" s="784">
        <f t="shared" si="15"/>
        <v>0</v>
      </c>
      <c r="K188" s="784"/>
      <c r="L188" s="804"/>
      <c r="M188" s="784">
        <f t="shared" si="9"/>
        <v>0</v>
      </c>
      <c r="N188" s="804"/>
      <c r="O188" s="784">
        <f t="shared" si="10"/>
        <v>0</v>
      </c>
      <c r="P188" s="784">
        <f t="shared" si="11"/>
        <v>0</v>
      </c>
    </row>
    <row r="189" spans="3:16" ht="12.75">
      <c r="C189" s="780">
        <f>IF(D178="","-",+C188+1)</f>
        <v>2019</v>
      </c>
      <c r="D189" s="728">
        <f t="shared" si="12"/>
        <v>79293816.22395833</v>
      </c>
      <c r="E189" s="781">
        <f t="shared" si="14"/>
        <v>1328946.640625</v>
      </c>
      <c r="F189" s="781">
        <f t="shared" si="8"/>
        <v>77964869.58333333</v>
      </c>
      <c r="G189" s="728">
        <f t="shared" si="13"/>
        <v>78629342.90364583</v>
      </c>
      <c r="H189" s="786">
        <f>+J179*G189+E189</f>
        <v>10086151.774608638</v>
      </c>
      <c r="I189" s="787">
        <f>+J180*G189+E189</f>
        <v>10086151.774608638</v>
      </c>
      <c r="J189" s="784">
        <f t="shared" si="15"/>
        <v>0</v>
      </c>
      <c r="K189" s="784"/>
      <c r="L189" s="804"/>
      <c r="M189" s="784">
        <f t="shared" si="9"/>
        <v>0</v>
      </c>
      <c r="N189" s="804"/>
      <c r="O189" s="784">
        <f t="shared" si="10"/>
        <v>0</v>
      </c>
      <c r="P189" s="784">
        <f t="shared" si="11"/>
        <v>0</v>
      </c>
    </row>
    <row r="190" spans="3:16" ht="12.75">
      <c r="C190" s="1308">
        <f>IF(D178="","-",+C189+1)</f>
        <v>2020</v>
      </c>
      <c r="D190" s="728">
        <f t="shared" si="12"/>
        <v>77964869.58333333</v>
      </c>
      <c r="E190" s="781">
        <f t="shared" si="14"/>
        <v>1328946.640625</v>
      </c>
      <c r="F190" s="781">
        <f t="shared" si="8"/>
        <v>76635922.94270833</v>
      </c>
      <c r="G190" s="728">
        <f t="shared" si="13"/>
        <v>77300396.26302083</v>
      </c>
      <c r="H190" s="786">
        <f>+J179*G190+E190</f>
        <v>9938142.673752576</v>
      </c>
      <c r="I190" s="787">
        <f>+J180*G190+E190</f>
        <v>9938142.673752576</v>
      </c>
      <c r="J190" s="784">
        <f t="shared" si="15"/>
        <v>0</v>
      </c>
      <c r="K190" s="784"/>
      <c r="L190" s="804"/>
      <c r="M190" s="784">
        <f t="shared" si="9"/>
        <v>0</v>
      </c>
      <c r="N190" s="804"/>
      <c r="O190" s="784">
        <f t="shared" si="10"/>
        <v>0</v>
      </c>
      <c r="P190" s="784">
        <f t="shared" si="11"/>
        <v>0</v>
      </c>
    </row>
    <row r="191" spans="3:16" ht="12.75">
      <c r="C191" s="780">
        <f>IF(D178="","-",+C190+1)</f>
        <v>2021</v>
      </c>
      <c r="D191" s="728">
        <f t="shared" si="12"/>
        <v>76635922.94270833</v>
      </c>
      <c r="E191" s="781">
        <f t="shared" si="14"/>
        <v>1328946.640625</v>
      </c>
      <c r="F191" s="781">
        <f t="shared" si="8"/>
        <v>75306976.30208333</v>
      </c>
      <c r="G191" s="728">
        <f t="shared" si="13"/>
        <v>75971449.62239583</v>
      </c>
      <c r="H191" s="786">
        <f>+J179*G191+E191</f>
        <v>9790133.572896516</v>
      </c>
      <c r="I191" s="787">
        <f>+J180*G191+E191</f>
        <v>9790133.572896516</v>
      </c>
      <c r="J191" s="784">
        <f t="shared" si="15"/>
        <v>0</v>
      </c>
      <c r="K191" s="784"/>
      <c r="L191" s="804"/>
      <c r="M191" s="784">
        <f t="shared" si="9"/>
        <v>0</v>
      </c>
      <c r="N191" s="804"/>
      <c r="O191" s="784">
        <f t="shared" si="10"/>
        <v>0</v>
      </c>
      <c r="P191" s="784">
        <f t="shared" si="11"/>
        <v>0</v>
      </c>
    </row>
    <row r="192" spans="3:16" ht="12.75">
      <c r="C192" s="780">
        <f>IF(D178="","-",+C191+1)</f>
        <v>2022</v>
      </c>
      <c r="D192" s="728">
        <f t="shared" si="12"/>
        <v>75306976.30208333</v>
      </c>
      <c r="E192" s="781">
        <f t="shared" si="14"/>
        <v>1328946.640625</v>
      </c>
      <c r="F192" s="781">
        <f t="shared" si="8"/>
        <v>73978029.66145833</v>
      </c>
      <c r="G192" s="728">
        <f t="shared" si="13"/>
        <v>74642502.98177083</v>
      </c>
      <c r="H192" s="786">
        <f>+J179*G192+E192</f>
        <v>9642124.472040454</v>
      </c>
      <c r="I192" s="787">
        <f>+J180*G192+E192</f>
        <v>9642124.472040454</v>
      </c>
      <c r="J192" s="784">
        <f t="shared" si="15"/>
        <v>0</v>
      </c>
      <c r="K192" s="784"/>
      <c r="L192" s="804"/>
      <c r="M192" s="784">
        <f t="shared" si="9"/>
        <v>0</v>
      </c>
      <c r="N192" s="804"/>
      <c r="O192" s="784">
        <f t="shared" si="10"/>
        <v>0</v>
      </c>
      <c r="P192" s="784">
        <f t="shared" si="11"/>
        <v>0</v>
      </c>
    </row>
    <row r="193" spans="3:16" ht="12.75">
      <c r="C193" s="780">
        <f>IF(D178="","-",+C192+1)</f>
        <v>2023</v>
      </c>
      <c r="D193" s="728">
        <f t="shared" si="12"/>
        <v>73978029.66145833</v>
      </c>
      <c r="E193" s="781">
        <f t="shared" si="14"/>
        <v>1328946.640625</v>
      </c>
      <c r="F193" s="781">
        <f t="shared" si="8"/>
        <v>72649083.02083333</v>
      </c>
      <c r="G193" s="728">
        <f t="shared" si="13"/>
        <v>73313556.34114583</v>
      </c>
      <c r="H193" s="786">
        <f>+J179*G193+E193</f>
        <v>9494115.371184394</v>
      </c>
      <c r="I193" s="787">
        <f>+J180*G193+E193</f>
        <v>9494115.371184394</v>
      </c>
      <c r="J193" s="784">
        <f t="shared" si="15"/>
        <v>0</v>
      </c>
      <c r="K193" s="784"/>
      <c r="L193" s="804"/>
      <c r="M193" s="784">
        <f t="shared" si="9"/>
        <v>0</v>
      </c>
      <c r="N193" s="804"/>
      <c r="O193" s="784">
        <f t="shared" si="10"/>
        <v>0</v>
      </c>
      <c r="P193" s="784">
        <f t="shared" si="11"/>
        <v>0</v>
      </c>
    </row>
    <row r="194" spans="3:16" ht="12.75">
      <c r="C194" s="780">
        <f>IF(D178="","-",+C193+1)</f>
        <v>2024</v>
      </c>
      <c r="D194" s="728">
        <f t="shared" si="12"/>
        <v>72649083.02083333</v>
      </c>
      <c r="E194" s="781">
        <f t="shared" si="14"/>
        <v>1328946.640625</v>
      </c>
      <c r="F194" s="781">
        <f t="shared" si="8"/>
        <v>71320136.38020833</v>
      </c>
      <c r="G194" s="728">
        <f t="shared" si="13"/>
        <v>71984609.70052083</v>
      </c>
      <c r="H194" s="786">
        <f>+J179*G194+E194</f>
        <v>9346106.270328332</v>
      </c>
      <c r="I194" s="787">
        <f>+J180*G194+E194</f>
        <v>9346106.270328332</v>
      </c>
      <c r="J194" s="784">
        <f t="shared" si="15"/>
        <v>0</v>
      </c>
      <c r="K194" s="784"/>
      <c r="L194" s="804"/>
      <c r="M194" s="784">
        <f t="shared" si="9"/>
        <v>0</v>
      </c>
      <c r="N194" s="804"/>
      <c r="O194" s="784">
        <f t="shared" si="10"/>
        <v>0</v>
      </c>
      <c r="P194" s="784">
        <f t="shared" si="11"/>
        <v>0</v>
      </c>
    </row>
    <row r="195" spans="3:16" ht="12.75">
      <c r="C195" s="780">
        <f>IF(D178="","-",+C194+1)</f>
        <v>2025</v>
      </c>
      <c r="D195" s="728">
        <f t="shared" si="12"/>
        <v>71320136.38020833</v>
      </c>
      <c r="E195" s="781">
        <f t="shared" si="14"/>
        <v>1328946.640625</v>
      </c>
      <c r="F195" s="781">
        <f t="shared" si="8"/>
        <v>69991189.73958333</v>
      </c>
      <c r="G195" s="728">
        <f t="shared" si="13"/>
        <v>70655663.05989583</v>
      </c>
      <c r="H195" s="786">
        <f>+J179*G195+E195</f>
        <v>9198097.16947227</v>
      </c>
      <c r="I195" s="787">
        <f>+J180*G195+E195</f>
        <v>9198097.16947227</v>
      </c>
      <c r="J195" s="784">
        <f t="shared" si="15"/>
        <v>0</v>
      </c>
      <c r="K195" s="784"/>
      <c r="L195" s="804"/>
      <c r="M195" s="784">
        <f t="shared" si="9"/>
        <v>0</v>
      </c>
      <c r="N195" s="804"/>
      <c r="O195" s="784">
        <f t="shared" si="10"/>
        <v>0</v>
      </c>
      <c r="P195" s="784">
        <f t="shared" si="11"/>
        <v>0</v>
      </c>
    </row>
    <row r="196" spans="3:16" ht="12.75">
      <c r="C196" s="780">
        <f>IF(D178="","-",+C195+1)</f>
        <v>2026</v>
      </c>
      <c r="D196" s="728">
        <f t="shared" si="12"/>
        <v>69991189.73958333</v>
      </c>
      <c r="E196" s="781">
        <f t="shared" si="14"/>
        <v>1328946.640625</v>
      </c>
      <c r="F196" s="781">
        <f t="shared" si="8"/>
        <v>68662243.09895833</v>
      </c>
      <c r="G196" s="728">
        <f t="shared" si="13"/>
        <v>69326716.41927083</v>
      </c>
      <c r="H196" s="786">
        <f>+J179*G196+E196</f>
        <v>9050088.068616208</v>
      </c>
      <c r="I196" s="787">
        <f>+J180*G196+E196</f>
        <v>9050088.068616208</v>
      </c>
      <c r="J196" s="784">
        <f t="shared" si="15"/>
        <v>0</v>
      </c>
      <c r="K196" s="784"/>
      <c r="L196" s="804"/>
      <c r="M196" s="784">
        <f t="shared" si="9"/>
        <v>0</v>
      </c>
      <c r="N196" s="804"/>
      <c r="O196" s="784">
        <f t="shared" si="10"/>
        <v>0</v>
      </c>
      <c r="P196" s="784">
        <f t="shared" si="11"/>
        <v>0</v>
      </c>
    </row>
    <row r="197" spans="3:16" ht="12.75">
      <c r="C197" s="780">
        <f>IF(D178="","-",+C196+1)</f>
        <v>2027</v>
      </c>
      <c r="D197" s="728">
        <f t="shared" si="12"/>
        <v>68662243.09895833</v>
      </c>
      <c r="E197" s="781">
        <f t="shared" si="14"/>
        <v>1328946.640625</v>
      </c>
      <c r="F197" s="781">
        <f t="shared" si="8"/>
        <v>67333296.45833333</v>
      </c>
      <c r="G197" s="728">
        <f t="shared" si="13"/>
        <v>67997769.77864583</v>
      </c>
      <c r="H197" s="786">
        <f>+J179*G197+E197</f>
        <v>8902078.967760146</v>
      </c>
      <c r="I197" s="787">
        <f>+J180*G197+E197</f>
        <v>8902078.967760146</v>
      </c>
      <c r="J197" s="784">
        <f t="shared" si="15"/>
        <v>0</v>
      </c>
      <c r="K197" s="784"/>
      <c r="L197" s="804"/>
      <c r="M197" s="784">
        <f t="shared" si="9"/>
        <v>0</v>
      </c>
      <c r="N197" s="804"/>
      <c r="O197" s="784">
        <f t="shared" si="10"/>
        <v>0</v>
      </c>
      <c r="P197" s="784">
        <f t="shared" si="11"/>
        <v>0</v>
      </c>
    </row>
    <row r="198" spans="3:16" ht="12.75">
      <c r="C198" s="780">
        <f>IF(D178="","-",+C197+1)</f>
        <v>2028</v>
      </c>
      <c r="D198" s="728">
        <f t="shared" si="12"/>
        <v>67333296.45833333</v>
      </c>
      <c r="E198" s="781">
        <f t="shared" si="14"/>
        <v>1328946.640625</v>
      </c>
      <c r="F198" s="781">
        <f t="shared" si="8"/>
        <v>66004349.81770833</v>
      </c>
      <c r="G198" s="728">
        <f t="shared" si="13"/>
        <v>66668823.13802083</v>
      </c>
      <c r="H198" s="786">
        <f>+J179*G198+E198</f>
        <v>8754069.866904084</v>
      </c>
      <c r="I198" s="787">
        <f>+J180*G198+E198</f>
        <v>8754069.866904084</v>
      </c>
      <c r="J198" s="784">
        <f t="shared" si="15"/>
        <v>0</v>
      </c>
      <c r="K198" s="784"/>
      <c r="L198" s="804"/>
      <c r="M198" s="784">
        <f t="shared" si="9"/>
        <v>0</v>
      </c>
      <c r="N198" s="804"/>
      <c r="O198" s="784">
        <f t="shared" si="10"/>
        <v>0</v>
      </c>
      <c r="P198" s="784">
        <f t="shared" si="11"/>
        <v>0</v>
      </c>
    </row>
    <row r="199" spans="3:16" ht="12.75">
      <c r="C199" s="780">
        <f>IF(D178="","-",+C198+1)</f>
        <v>2029</v>
      </c>
      <c r="D199" s="728">
        <f t="shared" si="12"/>
        <v>66004349.81770833</v>
      </c>
      <c r="E199" s="781">
        <f t="shared" si="14"/>
        <v>1328946.640625</v>
      </c>
      <c r="F199" s="781">
        <f t="shared" si="8"/>
        <v>64675403.17708333</v>
      </c>
      <c r="G199" s="728">
        <f t="shared" si="13"/>
        <v>65339876.49739583</v>
      </c>
      <c r="H199" s="786">
        <f>+J179*G199+E199</f>
        <v>8606060.766048023</v>
      </c>
      <c r="I199" s="787">
        <f>+J180*G199+E199</f>
        <v>8606060.766048023</v>
      </c>
      <c r="J199" s="784">
        <f t="shared" si="15"/>
        <v>0</v>
      </c>
      <c r="K199" s="784"/>
      <c r="L199" s="804"/>
      <c r="M199" s="784">
        <f t="shared" si="9"/>
        <v>0</v>
      </c>
      <c r="N199" s="804"/>
      <c r="O199" s="784">
        <f t="shared" si="10"/>
        <v>0</v>
      </c>
      <c r="P199" s="784">
        <f t="shared" si="11"/>
        <v>0</v>
      </c>
    </row>
    <row r="200" spans="3:16" ht="12.75">
      <c r="C200" s="780">
        <f>IF(D178="","-",+C199+1)</f>
        <v>2030</v>
      </c>
      <c r="D200" s="728">
        <f t="shared" si="12"/>
        <v>64675403.17708333</v>
      </c>
      <c r="E200" s="781">
        <f t="shared" si="14"/>
        <v>1328946.640625</v>
      </c>
      <c r="F200" s="781">
        <f t="shared" si="8"/>
        <v>63346456.53645833</v>
      </c>
      <c r="G200" s="728">
        <f t="shared" si="13"/>
        <v>64010929.85677083</v>
      </c>
      <c r="H200" s="786">
        <f>+J179*G200+E200</f>
        <v>8458051.665191961</v>
      </c>
      <c r="I200" s="787">
        <f>+J180*G200+E200</f>
        <v>8458051.665191961</v>
      </c>
      <c r="J200" s="784">
        <f t="shared" si="15"/>
        <v>0</v>
      </c>
      <c r="K200" s="784"/>
      <c r="L200" s="804"/>
      <c r="M200" s="784">
        <f t="shared" si="9"/>
        <v>0</v>
      </c>
      <c r="N200" s="804"/>
      <c r="O200" s="784">
        <f t="shared" si="10"/>
        <v>0</v>
      </c>
      <c r="P200" s="784">
        <f t="shared" si="11"/>
        <v>0</v>
      </c>
    </row>
    <row r="201" spans="3:16" ht="12.75">
      <c r="C201" s="780">
        <f>IF(D178="","-",+C200+1)</f>
        <v>2031</v>
      </c>
      <c r="D201" s="728">
        <f t="shared" si="12"/>
        <v>63346456.53645833</v>
      </c>
      <c r="E201" s="781">
        <f t="shared" si="14"/>
        <v>1328946.640625</v>
      </c>
      <c r="F201" s="781">
        <f t="shared" si="8"/>
        <v>62017509.89583333</v>
      </c>
      <c r="G201" s="728">
        <f t="shared" si="13"/>
        <v>62681983.21614583</v>
      </c>
      <c r="H201" s="786">
        <f>+J179*G201+E201</f>
        <v>8310042.5643359</v>
      </c>
      <c r="I201" s="787">
        <f>+J180*G201+E201</f>
        <v>8310042.5643359</v>
      </c>
      <c r="J201" s="784">
        <f t="shared" si="15"/>
        <v>0</v>
      </c>
      <c r="K201" s="784"/>
      <c r="L201" s="804"/>
      <c r="M201" s="784">
        <f t="shared" si="9"/>
        <v>0</v>
      </c>
      <c r="N201" s="804"/>
      <c r="O201" s="784">
        <f t="shared" si="10"/>
        <v>0</v>
      </c>
      <c r="P201" s="784">
        <f t="shared" si="11"/>
        <v>0</v>
      </c>
    </row>
    <row r="202" spans="3:16" ht="12.75">
      <c r="C202" s="780">
        <f>IF(D178="","-",+C201+1)</f>
        <v>2032</v>
      </c>
      <c r="D202" s="728">
        <f t="shared" si="12"/>
        <v>62017509.89583333</v>
      </c>
      <c r="E202" s="781">
        <f t="shared" si="14"/>
        <v>1328946.640625</v>
      </c>
      <c r="F202" s="781">
        <f t="shared" si="8"/>
        <v>60688563.25520833</v>
      </c>
      <c r="G202" s="728">
        <f t="shared" si="13"/>
        <v>61353036.57552083</v>
      </c>
      <c r="H202" s="786">
        <f>+J179*G202+E202</f>
        <v>8162033.463479839</v>
      </c>
      <c r="I202" s="787">
        <f>+J180*G202+E202</f>
        <v>8162033.463479839</v>
      </c>
      <c r="J202" s="784">
        <f t="shared" si="15"/>
        <v>0</v>
      </c>
      <c r="K202" s="784"/>
      <c r="L202" s="804"/>
      <c r="M202" s="784">
        <f t="shared" si="9"/>
        <v>0</v>
      </c>
      <c r="N202" s="804"/>
      <c r="O202" s="784">
        <f t="shared" si="10"/>
        <v>0</v>
      </c>
      <c r="P202" s="784">
        <f t="shared" si="11"/>
        <v>0</v>
      </c>
    </row>
    <row r="203" spans="3:16" ht="12.75">
      <c r="C203" s="780">
        <f>IF(D178="","-",+C202+1)</f>
        <v>2033</v>
      </c>
      <c r="D203" s="728">
        <f t="shared" si="12"/>
        <v>60688563.25520833</v>
      </c>
      <c r="E203" s="781">
        <f t="shared" si="14"/>
        <v>1328946.640625</v>
      </c>
      <c r="F203" s="781">
        <f t="shared" si="8"/>
        <v>59359616.61458333</v>
      </c>
      <c r="G203" s="728">
        <f t="shared" si="13"/>
        <v>60024089.93489583</v>
      </c>
      <c r="H203" s="786">
        <f>+J179*G203+E203</f>
        <v>8014024.362623777</v>
      </c>
      <c r="I203" s="787">
        <f>+J180*G203+E203</f>
        <v>8014024.362623777</v>
      </c>
      <c r="J203" s="784">
        <f t="shared" si="15"/>
        <v>0</v>
      </c>
      <c r="K203" s="784"/>
      <c r="L203" s="804"/>
      <c r="M203" s="784">
        <f t="shared" si="9"/>
        <v>0</v>
      </c>
      <c r="N203" s="804"/>
      <c r="O203" s="784">
        <f t="shared" si="10"/>
        <v>0</v>
      </c>
      <c r="P203" s="784">
        <f t="shared" si="11"/>
        <v>0</v>
      </c>
    </row>
    <row r="204" spans="3:16" ht="12.75">
      <c r="C204" s="780">
        <f>IF(D178="","-",+C203+1)</f>
        <v>2034</v>
      </c>
      <c r="D204" s="728">
        <f t="shared" si="12"/>
        <v>59359616.61458333</v>
      </c>
      <c r="E204" s="781">
        <f t="shared" si="14"/>
        <v>1328946.640625</v>
      </c>
      <c r="F204" s="781">
        <f t="shared" si="8"/>
        <v>58030669.97395833</v>
      </c>
      <c r="G204" s="728">
        <f t="shared" si="13"/>
        <v>58695143.29427083</v>
      </c>
      <c r="H204" s="786">
        <f>+J179*G204+E204</f>
        <v>7866015.261767716</v>
      </c>
      <c r="I204" s="787">
        <f>+J180*G204+E204</f>
        <v>7866015.261767716</v>
      </c>
      <c r="J204" s="784">
        <f t="shared" si="15"/>
        <v>0</v>
      </c>
      <c r="K204" s="784"/>
      <c r="L204" s="804"/>
      <c r="M204" s="784">
        <f t="shared" si="9"/>
        <v>0</v>
      </c>
      <c r="N204" s="804"/>
      <c r="O204" s="784">
        <f t="shared" si="10"/>
        <v>0</v>
      </c>
      <c r="P204" s="784">
        <f t="shared" si="11"/>
        <v>0</v>
      </c>
    </row>
    <row r="205" spans="3:16" ht="12.75">
      <c r="C205" s="780">
        <f>IF(D178="","-",+C204+1)</f>
        <v>2035</v>
      </c>
      <c r="D205" s="728">
        <f t="shared" si="12"/>
        <v>58030669.97395833</v>
      </c>
      <c r="E205" s="781">
        <f t="shared" si="14"/>
        <v>1328946.640625</v>
      </c>
      <c r="F205" s="781">
        <f t="shared" si="8"/>
        <v>56701723.33333333</v>
      </c>
      <c r="G205" s="728">
        <f t="shared" si="13"/>
        <v>57366196.65364583</v>
      </c>
      <c r="H205" s="786">
        <f>+J179*G205+E205</f>
        <v>7718006.160911654</v>
      </c>
      <c r="I205" s="787">
        <f>+J180*G205+E205</f>
        <v>7718006.160911654</v>
      </c>
      <c r="J205" s="784">
        <f t="shared" si="15"/>
        <v>0</v>
      </c>
      <c r="K205" s="784"/>
      <c r="L205" s="804"/>
      <c r="M205" s="784">
        <f t="shared" si="9"/>
        <v>0</v>
      </c>
      <c r="N205" s="804"/>
      <c r="O205" s="784">
        <f t="shared" si="10"/>
        <v>0</v>
      </c>
      <c r="P205" s="784">
        <f t="shared" si="11"/>
        <v>0</v>
      </c>
    </row>
    <row r="206" spans="3:16" ht="12.75">
      <c r="C206" s="780">
        <f>IF(D178="","-",+C205+1)</f>
        <v>2036</v>
      </c>
      <c r="D206" s="728">
        <f t="shared" si="12"/>
        <v>56701723.33333333</v>
      </c>
      <c r="E206" s="781">
        <f t="shared" si="14"/>
        <v>1328946.640625</v>
      </c>
      <c r="F206" s="781">
        <f t="shared" si="8"/>
        <v>55372776.69270833</v>
      </c>
      <c r="G206" s="728">
        <f t="shared" si="13"/>
        <v>56037250.01302083</v>
      </c>
      <c r="H206" s="786">
        <f>+J179*G206+E206</f>
        <v>7569997.060055593</v>
      </c>
      <c r="I206" s="787">
        <f>+J180*G206+E206</f>
        <v>7569997.060055593</v>
      </c>
      <c r="J206" s="784">
        <f t="shared" si="15"/>
        <v>0</v>
      </c>
      <c r="K206" s="784"/>
      <c r="L206" s="804"/>
      <c r="M206" s="784">
        <f t="shared" si="9"/>
        <v>0</v>
      </c>
      <c r="N206" s="804"/>
      <c r="O206" s="784">
        <f t="shared" si="10"/>
        <v>0</v>
      </c>
      <c r="P206" s="784">
        <f t="shared" si="11"/>
        <v>0</v>
      </c>
    </row>
    <row r="207" spans="3:16" ht="12.75">
      <c r="C207" s="780">
        <f>IF(D178="","-",+C206+1)</f>
        <v>2037</v>
      </c>
      <c r="D207" s="728">
        <f t="shared" si="12"/>
        <v>55372776.69270833</v>
      </c>
      <c r="E207" s="781">
        <f t="shared" si="14"/>
        <v>1328946.640625</v>
      </c>
      <c r="F207" s="781">
        <f t="shared" si="8"/>
        <v>54043830.05208333</v>
      </c>
      <c r="G207" s="728">
        <f t="shared" si="13"/>
        <v>54708303.37239583</v>
      </c>
      <c r="H207" s="786">
        <f>+J179*G207+E207</f>
        <v>7421987.959199531</v>
      </c>
      <c r="I207" s="787">
        <f>+J180*G207+E207</f>
        <v>7421987.959199531</v>
      </c>
      <c r="J207" s="784">
        <f t="shared" si="15"/>
        <v>0</v>
      </c>
      <c r="K207" s="784"/>
      <c r="L207" s="804"/>
      <c r="M207" s="784">
        <f t="shared" si="9"/>
        <v>0</v>
      </c>
      <c r="N207" s="804"/>
      <c r="O207" s="784">
        <f t="shared" si="10"/>
        <v>0</v>
      </c>
      <c r="P207" s="784">
        <f t="shared" si="11"/>
        <v>0</v>
      </c>
    </row>
    <row r="208" spans="3:16" ht="12.75">
      <c r="C208" s="780">
        <f>IF(D178="","-",+C207+1)</f>
        <v>2038</v>
      </c>
      <c r="D208" s="728">
        <f t="shared" si="12"/>
        <v>54043830.05208333</v>
      </c>
      <c r="E208" s="781">
        <f t="shared" si="14"/>
        <v>1328946.640625</v>
      </c>
      <c r="F208" s="781">
        <f t="shared" si="8"/>
        <v>52714883.41145833</v>
      </c>
      <c r="G208" s="728">
        <f t="shared" si="13"/>
        <v>53379356.73177083</v>
      </c>
      <c r="H208" s="786">
        <f>+J179*G208+E208</f>
        <v>7273978.85834347</v>
      </c>
      <c r="I208" s="787">
        <f>+J180*G208+E208</f>
        <v>7273978.85834347</v>
      </c>
      <c r="J208" s="784">
        <f t="shared" si="15"/>
        <v>0</v>
      </c>
      <c r="K208" s="784"/>
      <c r="L208" s="804"/>
      <c r="M208" s="784">
        <f t="shared" si="9"/>
        <v>0</v>
      </c>
      <c r="N208" s="804"/>
      <c r="O208" s="784">
        <f t="shared" si="10"/>
        <v>0</v>
      </c>
      <c r="P208" s="784">
        <f t="shared" si="11"/>
        <v>0</v>
      </c>
    </row>
    <row r="209" spans="3:16" ht="12.75">
      <c r="C209" s="780">
        <f>IF(D178="","-",+C208+1)</f>
        <v>2039</v>
      </c>
      <c r="D209" s="728">
        <f t="shared" si="12"/>
        <v>52714883.41145833</v>
      </c>
      <c r="E209" s="781">
        <f t="shared" si="14"/>
        <v>1328946.640625</v>
      </c>
      <c r="F209" s="781">
        <f t="shared" si="8"/>
        <v>51385936.77083333</v>
      </c>
      <c r="G209" s="728">
        <f t="shared" si="13"/>
        <v>52050410.09114583</v>
      </c>
      <c r="H209" s="786">
        <f>+J179*G209+E209</f>
        <v>7125969.757487409</v>
      </c>
      <c r="I209" s="787">
        <f>+J180*G209+E209</f>
        <v>7125969.757487409</v>
      </c>
      <c r="J209" s="784">
        <f t="shared" si="15"/>
        <v>0</v>
      </c>
      <c r="K209" s="784"/>
      <c r="L209" s="804"/>
      <c r="M209" s="784">
        <f t="shared" si="9"/>
        <v>0</v>
      </c>
      <c r="N209" s="804"/>
      <c r="O209" s="784">
        <f t="shared" si="10"/>
        <v>0</v>
      </c>
      <c r="P209" s="784">
        <f t="shared" si="11"/>
        <v>0</v>
      </c>
    </row>
    <row r="210" spans="3:16" ht="12.75">
      <c r="C210" s="780">
        <f>IF(D178="","-",+C209+1)</f>
        <v>2040</v>
      </c>
      <c r="D210" s="728">
        <f t="shared" si="12"/>
        <v>51385936.77083333</v>
      </c>
      <c r="E210" s="781">
        <f t="shared" si="14"/>
        <v>1328946.640625</v>
      </c>
      <c r="F210" s="781">
        <f t="shared" si="8"/>
        <v>50056990.13020833</v>
      </c>
      <c r="G210" s="728">
        <f t="shared" si="13"/>
        <v>50721463.45052083</v>
      </c>
      <c r="H210" s="786">
        <f>+J179*G210+E210</f>
        <v>6977960.656631347</v>
      </c>
      <c r="I210" s="787">
        <f>+J180*G210+E210</f>
        <v>6977960.656631347</v>
      </c>
      <c r="J210" s="784">
        <f t="shared" si="15"/>
        <v>0</v>
      </c>
      <c r="K210" s="784"/>
      <c r="L210" s="804"/>
      <c r="M210" s="784">
        <f t="shared" si="9"/>
        <v>0</v>
      </c>
      <c r="N210" s="804"/>
      <c r="O210" s="784">
        <f t="shared" si="10"/>
        <v>0</v>
      </c>
      <c r="P210" s="784">
        <f t="shared" si="11"/>
        <v>0</v>
      </c>
    </row>
    <row r="211" spans="3:16" ht="12.75">
      <c r="C211" s="780">
        <f>IF(D178="","-",+C210+1)</f>
        <v>2041</v>
      </c>
      <c r="D211" s="728">
        <f t="shared" si="12"/>
        <v>50056990.13020833</v>
      </c>
      <c r="E211" s="781">
        <f t="shared" si="14"/>
        <v>1328946.640625</v>
      </c>
      <c r="F211" s="781">
        <f t="shared" si="8"/>
        <v>48728043.48958333</v>
      </c>
      <c r="G211" s="728">
        <f t="shared" si="13"/>
        <v>49392516.80989583</v>
      </c>
      <c r="H211" s="786">
        <f>+J179*G211+E211</f>
        <v>6829951.555775286</v>
      </c>
      <c r="I211" s="787">
        <f>+J180*G211+E211</f>
        <v>6829951.555775286</v>
      </c>
      <c r="J211" s="784">
        <f t="shared" si="15"/>
        <v>0</v>
      </c>
      <c r="K211" s="784"/>
      <c r="L211" s="804"/>
      <c r="M211" s="784">
        <f t="shared" si="9"/>
        <v>0</v>
      </c>
      <c r="N211" s="804"/>
      <c r="O211" s="784">
        <f t="shared" si="10"/>
        <v>0</v>
      </c>
      <c r="P211" s="784">
        <f t="shared" si="11"/>
        <v>0</v>
      </c>
    </row>
    <row r="212" spans="3:16" ht="12.75">
      <c r="C212" s="780">
        <f>IF(D178="","-",+C211+1)</f>
        <v>2042</v>
      </c>
      <c r="D212" s="728">
        <f t="shared" si="12"/>
        <v>48728043.48958333</v>
      </c>
      <c r="E212" s="781">
        <f t="shared" si="14"/>
        <v>1328946.640625</v>
      </c>
      <c r="F212" s="781">
        <f t="shared" si="8"/>
        <v>47399096.84895833</v>
      </c>
      <c r="G212" s="728">
        <f t="shared" si="13"/>
        <v>48063570.16927083</v>
      </c>
      <c r="H212" s="786">
        <f>+J179*G212+E212</f>
        <v>6681942.454919224</v>
      </c>
      <c r="I212" s="787">
        <f>+J180*G212+E212</f>
        <v>6681942.454919224</v>
      </c>
      <c r="J212" s="784">
        <f t="shared" si="15"/>
        <v>0</v>
      </c>
      <c r="K212" s="784"/>
      <c r="L212" s="804"/>
      <c r="M212" s="784">
        <f t="shared" si="9"/>
        <v>0</v>
      </c>
      <c r="N212" s="804"/>
      <c r="O212" s="784">
        <f t="shared" si="10"/>
        <v>0</v>
      </c>
      <c r="P212" s="784">
        <f t="shared" si="11"/>
        <v>0</v>
      </c>
    </row>
    <row r="213" spans="3:16" ht="12.75">
      <c r="C213" s="780">
        <f>IF(D178="","-",+C212+1)</f>
        <v>2043</v>
      </c>
      <c r="D213" s="728">
        <f t="shared" si="12"/>
        <v>47399096.84895833</v>
      </c>
      <c r="E213" s="781">
        <f t="shared" si="14"/>
        <v>1328946.640625</v>
      </c>
      <c r="F213" s="781">
        <f t="shared" si="8"/>
        <v>46070150.20833333</v>
      </c>
      <c r="G213" s="728">
        <f t="shared" si="13"/>
        <v>46734623.52864583</v>
      </c>
      <c r="H213" s="786">
        <f>+J179*G213+E213</f>
        <v>6533933.354063163</v>
      </c>
      <c r="I213" s="787">
        <f>+J180*G213+E213</f>
        <v>6533933.354063163</v>
      </c>
      <c r="J213" s="784">
        <f t="shared" si="15"/>
        <v>0</v>
      </c>
      <c r="K213" s="784"/>
      <c r="L213" s="804"/>
      <c r="M213" s="784">
        <f t="shared" si="9"/>
        <v>0</v>
      </c>
      <c r="N213" s="804"/>
      <c r="O213" s="784">
        <f t="shared" si="10"/>
        <v>0</v>
      </c>
      <c r="P213" s="784">
        <f t="shared" si="11"/>
        <v>0</v>
      </c>
    </row>
    <row r="214" spans="3:16" ht="12.75">
      <c r="C214" s="780">
        <f>IF(D178="","-",+C213+1)</f>
        <v>2044</v>
      </c>
      <c r="D214" s="728">
        <f t="shared" si="12"/>
        <v>46070150.20833333</v>
      </c>
      <c r="E214" s="781">
        <f t="shared" si="14"/>
        <v>1328946.640625</v>
      </c>
      <c r="F214" s="781">
        <f t="shared" si="8"/>
        <v>44741203.56770833</v>
      </c>
      <c r="G214" s="728">
        <f t="shared" si="13"/>
        <v>45405676.88802083</v>
      </c>
      <c r="H214" s="786">
        <f>+J179*G214+E214</f>
        <v>6385924.253207101</v>
      </c>
      <c r="I214" s="787">
        <f>+J180*G214+E214</f>
        <v>6385924.253207101</v>
      </c>
      <c r="J214" s="784">
        <f t="shared" si="15"/>
        <v>0</v>
      </c>
      <c r="K214" s="784"/>
      <c r="L214" s="804"/>
      <c r="M214" s="784">
        <f t="shared" si="9"/>
        <v>0</v>
      </c>
      <c r="N214" s="804"/>
      <c r="O214" s="784">
        <f t="shared" si="10"/>
        <v>0</v>
      </c>
      <c r="P214" s="784">
        <f t="shared" si="11"/>
        <v>0</v>
      </c>
    </row>
    <row r="215" spans="3:16" ht="12.75">
      <c r="C215" s="780">
        <f>IF(D178="","-",+C214+1)</f>
        <v>2045</v>
      </c>
      <c r="D215" s="728">
        <f t="shared" si="12"/>
        <v>44741203.56770833</v>
      </c>
      <c r="E215" s="781">
        <f t="shared" si="14"/>
        <v>1328946.640625</v>
      </c>
      <c r="F215" s="781">
        <f t="shared" si="8"/>
        <v>43412256.92708333</v>
      </c>
      <c r="G215" s="728">
        <f t="shared" si="13"/>
        <v>44076730.24739583</v>
      </c>
      <c r="H215" s="786">
        <f>+J179*G215+E215</f>
        <v>6237915.152351039</v>
      </c>
      <c r="I215" s="787">
        <f>+J180*G215+E215</f>
        <v>6237915.152351039</v>
      </c>
      <c r="J215" s="784">
        <f t="shared" si="15"/>
        <v>0</v>
      </c>
      <c r="K215" s="784"/>
      <c r="L215" s="804"/>
      <c r="M215" s="784">
        <f t="shared" si="9"/>
        <v>0</v>
      </c>
      <c r="N215" s="804"/>
      <c r="O215" s="784">
        <f t="shared" si="10"/>
        <v>0</v>
      </c>
      <c r="P215" s="784">
        <f t="shared" si="11"/>
        <v>0</v>
      </c>
    </row>
    <row r="216" spans="3:16" ht="12.75">
      <c r="C216" s="780">
        <f>IF(D178="","-",+C215+1)</f>
        <v>2046</v>
      </c>
      <c r="D216" s="728">
        <f t="shared" si="12"/>
        <v>43412256.92708333</v>
      </c>
      <c r="E216" s="781">
        <f t="shared" si="14"/>
        <v>1328946.640625</v>
      </c>
      <c r="F216" s="781">
        <f t="shared" si="8"/>
        <v>42083310.28645833</v>
      </c>
      <c r="G216" s="728">
        <f t="shared" si="13"/>
        <v>42747783.60677083</v>
      </c>
      <c r="H216" s="786">
        <f>+J179*G216+E216</f>
        <v>6089906.051494977</v>
      </c>
      <c r="I216" s="787">
        <f>+J180*G216+E216</f>
        <v>6089906.051494977</v>
      </c>
      <c r="J216" s="784">
        <f t="shared" si="15"/>
        <v>0</v>
      </c>
      <c r="K216" s="784"/>
      <c r="L216" s="804"/>
      <c r="M216" s="784">
        <f t="shared" si="9"/>
        <v>0</v>
      </c>
      <c r="N216" s="804"/>
      <c r="O216" s="784">
        <f t="shared" si="10"/>
        <v>0</v>
      </c>
      <c r="P216" s="784">
        <f t="shared" si="11"/>
        <v>0</v>
      </c>
    </row>
    <row r="217" spans="3:16" ht="12.75">
      <c r="C217" s="780">
        <f>IF(D178="","-",+C216+1)</f>
        <v>2047</v>
      </c>
      <c r="D217" s="728">
        <f t="shared" si="12"/>
        <v>42083310.28645833</v>
      </c>
      <c r="E217" s="781">
        <f t="shared" si="14"/>
        <v>1328946.640625</v>
      </c>
      <c r="F217" s="781">
        <f t="shared" si="8"/>
        <v>40754363.64583333</v>
      </c>
      <c r="G217" s="728">
        <f t="shared" si="13"/>
        <v>41418836.96614583</v>
      </c>
      <c r="H217" s="786">
        <f>+J179*G217+E217</f>
        <v>5941896.950638916</v>
      </c>
      <c r="I217" s="787">
        <f>+J180*G217+E217</f>
        <v>5941896.950638916</v>
      </c>
      <c r="J217" s="784">
        <f t="shared" si="15"/>
        <v>0</v>
      </c>
      <c r="K217" s="784"/>
      <c r="L217" s="804"/>
      <c r="M217" s="784">
        <f t="shared" si="9"/>
        <v>0</v>
      </c>
      <c r="N217" s="804"/>
      <c r="O217" s="784">
        <f t="shared" si="10"/>
        <v>0</v>
      </c>
      <c r="P217" s="784">
        <f t="shared" si="11"/>
        <v>0</v>
      </c>
    </row>
    <row r="218" spans="3:16" ht="12.75">
      <c r="C218" s="780">
        <f>IF(D178="","-",+C217+1)</f>
        <v>2048</v>
      </c>
      <c r="D218" s="728">
        <f t="shared" si="12"/>
        <v>40754363.64583333</v>
      </c>
      <c r="E218" s="781">
        <f t="shared" si="14"/>
        <v>1328946.640625</v>
      </c>
      <c r="F218" s="781">
        <f t="shared" si="8"/>
        <v>39425417.00520833</v>
      </c>
      <c r="G218" s="728">
        <f t="shared" si="13"/>
        <v>40089890.32552083</v>
      </c>
      <c r="H218" s="786">
        <f>+J179*G218+E218</f>
        <v>5793887.849782855</v>
      </c>
      <c r="I218" s="787">
        <f>+J180*G218+E218</f>
        <v>5793887.849782855</v>
      </c>
      <c r="J218" s="784">
        <f t="shared" si="15"/>
        <v>0</v>
      </c>
      <c r="K218" s="784"/>
      <c r="L218" s="804"/>
      <c r="M218" s="784">
        <f t="shared" si="9"/>
        <v>0</v>
      </c>
      <c r="N218" s="804"/>
      <c r="O218" s="784">
        <f t="shared" si="10"/>
        <v>0</v>
      </c>
      <c r="P218" s="784">
        <f t="shared" si="11"/>
        <v>0</v>
      </c>
    </row>
    <row r="219" spans="3:16" ht="12.75">
      <c r="C219" s="780">
        <f>IF(D178="","-",+C218+1)</f>
        <v>2049</v>
      </c>
      <c r="D219" s="728">
        <f t="shared" si="12"/>
        <v>39425417.00520833</v>
      </c>
      <c r="E219" s="781">
        <f t="shared" si="14"/>
        <v>1328946.640625</v>
      </c>
      <c r="F219" s="781">
        <f t="shared" si="8"/>
        <v>38096470.36458333</v>
      </c>
      <c r="G219" s="728">
        <f t="shared" si="13"/>
        <v>38760943.68489583</v>
      </c>
      <c r="H219" s="786">
        <f>+J179*G219+E219</f>
        <v>5645878.748926793</v>
      </c>
      <c r="I219" s="787">
        <f>+J180*G219+E219</f>
        <v>5645878.748926793</v>
      </c>
      <c r="J219" s="784">
        <f t="shared" si="15"/>
        <v>0</v>
      </c>
      <c r="K219" s="784"/>
      <c r="L219" s="804"/>
      <c r="M219" s="784">
        <f t="shared" si="9"/>
        <v>0</v>
      </c>
      <c r="N219" s="804"/>
      <c r="O219" s="784">
        <f t="shared" si="10"/>
        <v>0</v>
      </c>
      <c r="P219" s="784">
        <f t="shared" si="11"/>
        <v>0</v>
      </c>
    </row>
    <row r="220" spans="3:16" ht="12.75">
      <c r="C220" s="780">
        <f>IF(D178="","-",+C219+1)</f>
        <v>2050</v>
      </c>
      <c r="D220" s="728">
        <f t="shared" si="12"/>
        <v>38096470.36458333</v>
      </c>
      <c r="E220" s="781">
        <f t="shared" si="14"/>
        <v>1328946.640625</v>
      </c>
      <c r="F220" s="781">
        <f t="shared" si="8"/>
        <v>36767523.72395833</v>
      </c>
      <c r="G220" s="728">
        <f t="shared" si="13"/>
        <v>37431997.04427083</v>
      </c>
      <c r="H220" s="786">
        <f>+J179*G220+E220</f>
        <v>5497869.648070732</v>
      </c>
      <c r="I220" s="787">
        <f>+J180*G220+E220</f>
        <v>5497869.648070732</v>
      </c>
      <c r="J220" s="784">
        <f t="shared" si="15"/>
        <v>0</v>
      </c>
      <c r="K220" s="784"/>
      <c r="L220" s="804"/>
      <c r="M220" s="784">
        <f t="shared" si="9"/>
        <v>0</v>
      </c>
      <c r="N220" s="804"/>
      <c r="O220" s="784">
        <f t="shared" si="10"/>
        <v>0</v>
      </c>
      <c r="P220" s="784">
        <f t="shared" si="11"/>
        <v>0</v>
      </c>
    </row>
    <row r="221" spans="3:16" ht="12.75">
      <c r="C221" s="780">
        <f>IF(D178="","-",+C220+1)</f>
        <v>2051</v>
      </c>
      <c r="D221" s="728">
        <f t="shared" si="12"/>
        <v>36767523.72395833</v>
      </c>
      <c r="E221" s="781">
        <f t="shared" si="14"/>
        <v>1328946.640625</v>
      </c>
      <c r="F221" s="781">
        <f t="shared" si="8"/>
        <v>35438577.08333333</v>
      </c>
      <c r="G221" s="728">
        <f t="shared" si="13"/>
        <v>36103050.40364583</v>
      </c>
      <c r="H221" s="786">
        <f>+J179*G221+E221</f>
        <v>5349860.54721467</v>
      </c>
      <c r="I221" s="787">
        <f>+J180*G221+E221</f>
        <v>5349860.54721467</v>
      </c>
      <c r="J221" s="784">
        <f t="shared" si="15"/>
        <v>0</v>
      </c>
      <c r="K221" s="784"/>
      <c r="L221" s="804"/>
      <c r="M221" s="784">
        <f t="shared" si="9"/>
        <v>0</v>
      </c>
      <c r="N221" s="804"/>
      <c r="O221" s="784">
        <f t="shared" si="10"/>
        <v>0</v>
      </c>
      <c r="P221" s="784">
        <f t="shared" si="11"/>
        <v>0</v>
      </c>
    </row>
    <row r="222" spans="3:16" ht="12.75">
      <c r="C222" s="780">
        <f>IF(D178="","-",+C221+1)</f>
        <v>2052</v>
      </c>
      <c r="D222" s="728">
        <f t="shared" si="12"/>
        <v>35438577.08333333</v>
      </c>
      <c r="E222" s="781">
        <f t="shared" si="14"/>
        <v>1328946.640625</v>
      </c>
      <c r="F222" s="781">
        <f t="shared" si="8"/>
        <v>34109630.44270833</v>
      </c>
      <c r="G222" s="728">
        <f t="shared" si="13"/>
        <v>34774103.76302083</v>
      </c>
      <c r="H222" s="786">
        <f>+J179*G222+E222</f>
        <v>5201851.446358609</v>
      </c>
      <c r="I222" s="787">
        <f>+J180*G222+E222</f>
        <v>5201851.446358609</v>
      </c>
      <c r="J222" s="784">
        <f t="shared" si="15"/>
        <v>0</v>
      </c>
      <c r="K222" s="784"/>
      <c r="L222" s="804"/>
      <c r="M222" s="784">
        <f t="shared" si="9"/>
        <v>0</v>
      </c>
      <c r="N222" s="804"/>
      <c r="O222" s="784">
        <f t="shared" si="10"/>
        <v>0</v>
      </c>
      <c r="P222" s="784">
        <f t="shared" si="11"/>
        <v>0</v>
      </c>
    </row>
    <row r="223" spans="3:16" ht="12.75">
      <c r="C223" s="780">
        <f>IF(D178="","-",+C222+1)</f>
        <v>2053</v>
      </c>
      <c r="D223" s="728">
        <f t="shared" si="12"/>
        <v>34109630.44270833</v>
      </c>
      <c r="E223" s="781">
        <f t="shared" si="14"/>
        <v>1328946.640625</v>
      </c>
      <c r="F223" s="781">
        <f t="shared" si="8"/>
        <v>32780683.80208333</v>
      </c>
      <c r="G223" s="728">
        <f t="shared" si="13"/>
        <v>33445157.12239583</v>
      </c>
      <c r="H223" s="786">
        <f>+J179*G223+E223</f>
        <v>5053842.345502548</v>
      </c>
      <c r="I223" s="787">
        <f>+J180*G223+E223</f>
        <v>5053842.345502548</v>
      </c>
      <c r="J223" s="784">
        <f t="shared" si="15"/>
        <v>0</v>
      </c>
      <c r="K223" s="784"/>
      <c r="L223" s="804"/>
      <c r="M223" s="784">
        <f t="shared" si="9"/>
        <v>0</v>
      </c>
      <c r="N223" s="804"/>
      <c r="O223" s="784">
        <f t="shared" si="10"/>
        <v>0</v>
      </c>
      <c r="P223" s="784">
        <f t="shared" si="11"/>
        <v>0</v>
      </c>
    </row>
    <row r="224" spans="3:16" ht="12.75">
      <c r="C224" s="780">
        <f>IF(D178="","-",+C223+1)</f>
        <v>2054</v>
      </c>
      <c r="D224" s="728">
        <f t="shared" si="12"/>
        <v>32780683.80208333</v>
      </c>
      <c r="E224" s="781">
        <f t="shared" si="14"/>
        <v>1328946.640625</v>
      </c>
      <c r="F224" s="781">
        <f t="shared" si="8"/>
        <v>31451737.16145833</v>
      </c>
      <c r="G224" s="728">
        <f t="shared" si="13"/>
        <v>32116210.48177083</v>
      </c>
      <c r="H224" s="786">
        <f>+J179*G224+E224</f>
        <v>4905833.244646486</v>
      </c>
      <c r="I224" s="787">
        <f>+J180*G224+E224</f>
        <v>4905833.244646486</v>
      </c>
      <c r="J224" s="784">
        <f t="shared" si="15"/>
        <v>0</v>
      </c>
      <c r="K224" s="784"/>
      <c r="L224" s="804"/>
      <c r="M224" s="784">
        <f t="shared" si="9"/>
        <v>0</v>
      </c>
      <c r="N224" s="804"/>
      <c r="O224" s="784">
        <f t="shared" si="10"/>
        <v>0</v>
      </c>
      <c r="P224" s="784">
        <f t="shared" si="11"/>
        <v>0</v>
      </c>
    </row>
    <row r="225" spans="3:16" ht="12.75">
      <c r="C225" s="780">
        <f>IF(D178="","-",+C224+1)</f>
        <v>2055</v>
      </c>
      <c r="D225" s="728">
        <f t="shared" si="12"/>
        <v>31451737.16145833</v>
      </c>
      <c r="E225" s="781">
        <f t="shared" si="14"/>
        <v>1328946.640625</v>
      </c>
      <c r="F225" s="781">
        <f t="shared" si="8"/>
        <v>30122790.52083333</v>
      </c>
      <c r="G225" s="728">
        <f t="shared" si="13"/>
        <v>30787263.84114583</v>
      </c>
      <c r="H225" s="786">
        <f>+J179*G225+E225</f>
        <v>4757824.143790424</v>
      </c>
      <c r="I225" s="787">
        <f>+J180*G225+E225</f>
        <v>4757824.143790424</v>
      </c>
      <c r="J225" s="784">
        <f t="shared" si="15"/>
        <v>0</v>
      </c>
      <c r="K225" s="784"/>
      <c r="L225" s="804"/>
      <c r="M225" s="784">
        <f t="shared" si="9"/>
        <v>0</v>
      </c>
      <c r="N225" s="804"/>
      <c r="O225" s="784">
        <f t="shared" si="10"/>
        <v>0</v>
      </c>
      <c r="P225" s="784">
        <f t="shared" si="11"/>
        <v>0</v>
      </c>
    </row>
    <row r="226" spans="3:16" ht="12.75">
      <c r="C226" s="780">
        <f>IF(D178="","-",+C225+1)</f>
        <v>2056</v>
      </c>
      <c r="D226" s="728">
        <f t="shared" si="12"/>
        <v>30122790.52083333</v>
      </c>
      <c r="E226" s="781">
        <f t="shared" si="14"/>
        <v>1328946.640625</v>
      </c>
      <c r="F226" s="781">
        <f t="shared" si="8"/>
        <v>28793843.88020833</v>
      </c>
      <c r="G226" s="728">
        <f t="shared" si="13"/>
        <v>29458317.20052083</v>
      </c>
      <c r="H226" s="786">
        <f>+J179*G226+E226</f>
        <v>4609815.042934363</v>
      </c>
      <c r="I226" s="787">
        <f>+J180*G226+E226</f>
        <v>4609815.042934363</v>
      </c>
      <c r="J226" s="784">
        <f t="shared" si="15"/>
        <v>0</v>
      </c>
      <c r="K226" s="784"/>
      <c r="L226" s="804"/>
      <c r="M226" s="784">
        <f t="shared" si="9"/>
        <v>0</v>
      </c>
      <c r="N226" s="804"/>
      <c r="O226" s="784">
        <f t="shared" si="10"/>
        <v>0</v>
      </c>
      <c r="P226" s="784">
        <f t="shared" si="11"/>
        <v>0</v>
      </c>
    </row>
    <row r="227" spans="3:16" ht="12.75">
      <c r="C227" s="780">
        <f>IF(D178="","-",+C226+1)</f>
        <v>2057</v>
      </c>
      <c r="D227" s="728">
        <f t="shared" si="12"/>
        <v>28793843.88020833</v>
      </c>
      <c r="E227" s="781">
        <f t="shared" si="14"/>
        <v>1328946.640625</v>
      </c>
      <c r="F227" s="781">
        <f t="shared" si="8"/>
        <v>27464897.23958333</v>
      </c>
      <c r="G227" s="728">
        <f t="shared" si="13"/>
        <v>28129370.55989583</v>
      </c>
      <c r="H227" s="786">
        <f>+J179*G227+E227</f>
        <v>4461805.942078302</v>
      </c>
      <c r="I227" s="787">
        <f>+J180*G227+E227</f>
        <v>4461805.942078302</v>
      </c>
      <c r="J227" s="784">
        <f t="shared" si="15"/>
        <v>0</v>
      </c>
      <c r="K227" s="784"/>
      <c r="L227" s="804"/>
      <c r="M227" s="784">
        <f t="shared" si="9"/>
        <v>0</v>
      </c>
      <c r="N227" s="804"/>
      <c r="O227" s="784">
        <f t="shared" si="10"/>
        <v>0</v>
      </c>
      <c r="P227" s="784">
        <f t="shared" si="11"/>
        <v>0</v>
      </c>
    </row>
    <row r="228" spans="3:16" ht="12.75">
      <c r="C228" s="780">
        <f>IF(D178="","-",+C227+1)</f>
        <v>2058</v>
      </c>
      <c r="D228" s="728">
        <f t="shared" si="12"/>
        <v>27464897.23958333</v>
      </c>
      <c r="E228" s="781">
        <f t="shared" si="14"/>
        <v>1328946.640625</v>
      </c>
      <c r="F228" s="781">
        <f t="shared" si="8"/>
        <v>26135950.59895833</v>
      </c>
      <c r="G228" s="728">
        <f t="shared" si="13"/>
        <v>26800423.91927083</v>
      </c>
      <c r="H228" s="786">
        <f>+J179*G228+E228</f>
        <v>4313796.84122224</v>
      </c>
      <c r="I228" s="787">
        <f>+J180*G228+E228</f>
        <v>4313796.84122224</v>
      </c>
      <c r="J228" s="784">
        <f t="shared" si="15"/>
        <v>0</v>
      </c>
      <c r="K228" s="784"/>
      <c r="L228" s="804"/>
      <c r="M228" s="784">
        <f t="shared" si="9"/>
        <v>0</v>
      </c>
      <c r="N228" s="804"/>
      <c r="O228" s="784">
        <f t="shared" si="10"/>
        <v>0</v>
      </c>
      <c r="P228" s="784">
        <f t="shared" si="11"/>
        <v>0</v>
      </c>
    </row>
    <row r="229" spans="3:16" ht="12.75">
      <c r="C229" s="780">
        <f>IF(D178="","-",+C228+1)</f>
        <v>2059</v>
      </c>
      <c r="D229" s="728">
        <f t="shared" si="12"/>
        <v>26135950.59895833</v>
      </c>
      <c r="E229" s="781">
        <f t="shared" si="14"/>
        <v>1328946.640625</v>
      </c>
      <c r="F229" s="781">
        <f t="shared" si="8"/>
        <v>24807003.95833333</v>
      </c>
      <c r="G229" s="728">
        <f t="shared" si="13"/>
        <v>25471477.27864583</v>
      </c>
      <c r="H229" s="786">
        <f>+J179*G229+E229</f>
        <v>4165787.740366178</v>
      </c>
      <c r="I229" s="787">
        <f>+J180*G229+E229</f>
        <v>4165787.740366178</v>
      </c>
      <c r="J229" s="784">
        <f t="shared" si="15"/>
        <v>0</v>
      </c>
      <c r="K229" s="784"/>
      <c r="L229" s="804"/>
      <c r="M229" s="784">
        <f t="shared" si="9"/>
        <v>0</v>
      </c>
      <c r="N229" s="804"/>
      <c r="O229" s="784">
        <f t="shared" si="10"/>
        <v>0</v>
      </c>
      <c r="P229" s="784">
        <f t="shared" si="11"/>
        <v>0</v>
      </c>
    </row>
    <row r="230" spans="3:16" ht="12.75">
      <c r="C230" s="780">
        <f>IF(D178="","-",+C229+1)</f>
        <v>2060</v>
      </c>
      <c r="D230" s="728">
        <f t="shared" si="12"/>
        <v>24807003.95833333</v>
      </c>
      <c r="E230" s="781">
        <f t="shared" si="14"/>
        <v>1328946.640625</v>
      </c>
      <c r="F230" s="781">
        <f t="shared" si="8"/>
        <v>23478057.31770833</v>
      </c>
      <c r="G230" s="728">
        <f t="shared" si="13"/>
        <v>24142530.63802083</v>
      </c>
      <c r="H230" s="786">
        <f>+J179*G230+E230</f>
        <v>4017778.639510117</v>
      </c>
      <c r="I230" s="787">
        <f>+J180*G230+E230</f>
        <v>4017778.639510117</v>
      </c>
      <c r="J230" s="784">
        <f t="shared" si="15"/>
        <v>0</v>
      </c>
      <c r="K230" s="784"/>
      <c r="L230" s="804"/>
      <c r="M230" s="784">
        <f t="shared" si="9"/>
        <v>0</v>
      </c>
      <c r="N230" s="804"/>
      <c r="O230" s="784">
        <f t="shared" si="10"/>
        <v>0</v>
      </c>
      <c r="P230" s="784">
        <f t="shared" si="11"/>
        <v>0</v>
      </c>
    </row>
    <row r="231" spans="3:16" ht="12.75">
      <c r="C231" s="780">
        <f>IF(D178="","-",+C230+1)</f>
        <v>2061</v>
      </c>
      <c r="D231" s="728">
        <f t="shared" si="12"/>
        <v>23478057.31770833</v>
      </c>
      <c r="E231" s="781">
        <f t="shared" si="14"/>
        <v>1328946.640625</v>
      </c>
      <c r="F231" s="781">
        <f t="shared" si="8"/>
        <v>22149110.67708333</v>
      </c>
      <c r="G231" s="728">
        <f t="shared" si="13"/>
        <v>22813583.99739583</v>
      </c>
      <c r="H231" s="786">
        <f>+J179*G231+E231</f>
        <v>3869769.5386540554</v>
      </c>
      <c r="I231" s="787">
        <f>+J180*G231+E231</f>
        <v>3869769.5386540554</v>
      </c>
      <c r="J231" s="784">
        <f t="shared" si="15"/>
        <v>0</v>
      </c>
      <c r="K231" s="784"/>
      <c r="L231" s="804"/>
      <c r="M231" s="784">
        <f t="shared" si="9"/>
        <v>0</v>
      </c>
      <c r="N231" s="804"/>
      <c r="O231" s="784">
        <f t="shared" si="10"/>
        <v>0</v>
      </c>
      <c r="P231" s="784">
        <f t="shared" si="11"/>
        <v>0</v>
      </c>
    </row>
    <row r="232" spans="3:16" ht="12.75">
      <c r="C232" s="780">
        <f>IF(D178="","-",+C231+1)</f>
        <v>2062</v>
      </c>
      <c r="D232" s="728">
        <f t="shared" si="12"/>
        <v>22149110.67708333</v>
      </c>
      <c r="E232" s="781">
        <f t="shared" si="14"/>
        <v>1328946.640625</v>
      </c>
      <c r="F232" s="781">
        <f t="shared" si="8"/>
        <v>20820164.03645833</v>
      </c>
      <c r="G232" s="728">
        <f t="shared" si="13"/>
        <v>21484637.35677083</v>
      </c>
      <c r="H232" s="786">
        <f>+J179*G232+E232</f>
        <v>3721760.437797994</v>
      </c>
      <c r="I232" s="787">
        <f>+J180*G232+E232</f>
        <v>3721760.437797994</v>
      </c>
      <c r="J232" s="784">
        <f t="shared" si="15"/>
        <v>0</v>
      </c>
      <c r="K232" s="784"/>
      <c r="L232" s="804"/>
      <c r="M232" s="784">
        <f t="shared" si="9"/>
        <v>0</v>
      </c>
      <c r="N232" s="804"/>
      <c r="O232" s="784">
        <f t="shared" si="10"/>
        <v>0</v>
      </c>
      <c r="P232" s="784">
        <f t="shared" si="11"/>
        <v>0</v>
      </c>
    </row>
    <row r="233" spans="3:16" ht="12.75">
      <c r="C233" s="780">
        <f>IF(D178="","-",+C232+1)</f>
        <v>2063</v>
      </c>
      <c r="D233" s="728">
        <f t="shared" si="12"/>
        <v>20820164.03645833</v>
      </c>
      <c r="E233" s="781">
        <f t="shared" si="14"/>
        <v>1328946.640625</v>
      </c>
      <c r="F233" s="781">
        <f t="shared" si="8"/>
        <v>19491217.39583333</v>
      </c>
      <c r="G233" s="728">
        <f t="shared" si="13"/>
        <v>20155690.71614583</v>
      </c>
      <c r="H233" s="786">
        <f>+J179*G233+E233</f>
        <v>3573751.3369419323</v>
      </c>
      <c r="I233" s="787">
        <f>+J180*G233+E233</f>
        <v>3573751.3369419323</v>
      </c>
      <c r="J233" s="784">
        <f t="shared" si="15"/>
        <v>0</v>
      </c>
      <c r="K233" s="784"/>
      <c r="L233" s="804"/>
      <c r="M233" s="784">
        <f t="shared" si="9"/>
        <v>0</v>
      </c>
      <c r="N233" s="804"/>
      <c r="O233" s="784">
        <f t="shared" si="10"/>
        <v>0</v>
      </c>
      <c r="P233" s="784">
        <f t="shared" si="11"/>
        <v>0</v>
      </c>
    </row>
    <row r="234" spans="3:16" ht="12.75">
      <c r="C234" s="780">
        <f>IF(D178="","-",+C233+1)</f>
        <v>2064</v>
      </c>
      <c r="D234" s="728">
        <f t="shared" si="12"/>
        <v>19491217.39583333</v>
      </c>
      <c r="E234" s="781">
        <f t="shared" si="14"/>
        <v>1328946.640625</v>
      </c>
      <c r="F234" s="781">
        <f t="shared" si="8"/>
        <v>18162270.75520833</v>
      </c>
      <c r="G234" s="728">
        <f t="shared" si="13"/>
        <v>18826744.07552083</v>
      </c>
      <c r="H234" s="786">
        <f>+J179*G234+E234</f>
        <v>3425742.236085871</v>
      </c>
      <c r="I234" s="787">
        <f>+J180*G234+E234</f>
        <v>3425742.236085871</v>
      </c>
      <c r="J234" s="784">
        <f t="shared" si="15"/>
        <v>0</v>
      </c>
      <c r="K234" s="784"/>
      <c r="L234" s="804"/>
      <c r="M234" s="784">
        <f t="shared" si="9"/>
        <v>0</v>
      </c>
      <c r="N234" s="804"/>
      <c r="O234" s="784">
        <f t="shared" si="10"/>
        <v>0</v>
      </c>
      <c r="P234" s="784">
        <f t="shared" si="11"/>
        <v>0</v>
      </c>
    </row>
    <row r="235" spans="3:16" ht="12.75">
      <c r="C235" s="780">
        <f>IF(D178="","-",+C234+1)</f>
        <v>2065</v>
      </c>
      <c r="D235" s="728">
        <f t="shared" si="12"/>
        <v>18162270.75520833</v>
      </c>
      <c r="E235" s="781">
        <f t="shared" si="14"/>
        <v>1328946.640625</v>
      </c>
      <c r="F235" s="781">
        <f t="shared" si="8"/>
        <v>16833324.11458333</v>
      </c>
      <c r="G235" s="728">
        <f t="shared" si="13"/>
        <v>17497797.43489583</v>
      </c>
      <c r="H235" s="786">
        <f>+J179*G235+E235</f>
        <v>3277733.135229809</v>
      </c>
      <c r="I235" s="787">
        <f>+J180*G235+E235</f>
        <v>3277733.135229809</v>
      </c>
      <c r="J235" s="784">
        <f t="shared" si="15"/>
        <v>0</v>
      </c>
      <c r="K235" s="784"/>
      <c r="L235" s="804"/>
      <c r="M235" s="784">
        <f t="shared" si="9"/>
        <v>0</v>
      </c>
      <c r="N235" s="804"/>
      <c r="O235" s="784">
        <f t="shared" si="10"/>
        <v>0</v>
      </c>
      <c r="P235" s="784">
        <f t="shared" si="11"/>
        <v>0</v>
      </c>
    </row>
    <row r="236" spans="3:16" ht="12.75">
      <c r="C236" s="780">
        <f>IF(D178="","-",+C235+1)</f>
        <v>2066</v>
      </c>
      <c r="D236" s="728">
        <f t="shared" si="12"/>
        <v>16833324.11458333</v>
      </c>
      <c r="E236" s="781">
        <f t="shared" si="14"/>
        <v>1328946.640625</v>
      </c>
      <c r="F236" s="781">
        <f t="shared" si="8"/>
        <v>15504377.473958328</v>
      </c>
      <c r="G236" s="728">
        <f t="shared" si="13"/>
        <v>16168850.794270828</v>
      </c>
      <c r="H236" s="786">
        <f>+J179*G236+E236</f>
        <v>3129724.0343737477</v>
      </c>
      <c r="I236" s="787">
        <f>+J180*G236+E236</f>
        <v>3129724.0343737477</v>
      </c>
      <c r="J236" s="784">
        <f t="shared" si="15"/>
        <v>0</v>
      </c>
      <c r="K236" s="784"/>
      <c r="L236" s="804"/>
      <c r="M236" s="784">
        <f t="shared" si="9"/>
        <v>0</v>
      </c>
      <c r="N236" s="804"/>
      <c r="O236" s="784">
        <f t="shared" si="10"/>
        <v>0</v>
      </c>
      <c r="P236" s="784">
        <f t="shared" si="11"/>
        <v>0</v>
      </c>
    </row>
    <row r="237" spans="3:16" ht="12.75">
      <c r="C237" s="780">
        <f>IF(D178="","-",+C236+1)</f>
        <v>2067</v>
      </c>
      <c r="D237" s="728">
        <f t="shared" si="12"/>
        <v>15504377.473958328</v>
      </c>
      <c r="E237" s="781">
        <f t="shared" si="14"/>
        <v>1328946.640625</v>
      </c>
      <c r="F237" s="781">
        <f t="shared" si="8"/>
        <v>14175430.833333328</v>
      </c>
      <c r="G237" s="728">
        <f t="shared" si="13"/>
        <v>14839904.153645828</v>
      </c>
      <c r="H237" s="786">
        <f>+J179*G237+E237</f>
        <v>2981714.933517686</v>
      </c>
      <c r="I237" s="787">
        <f>+J180*G237+E237</f>
        <v>2981714.933517686</v>
      </c>
      <c r="J237" s="784">
        <f t="shared" si="15"/>
        <v>0</v>
      </c>
      <c r="K237" s="784"/>
      <c r="L237" s="804"/>
      <c r="M237" s="784">
        <f t="shared" si="9"/>
        <v>0</v>
      </c>
      <c r="N237" s="804"/>
      <c r="O237" s="784">
        <f t="shared" si="10"/>
        <v>0</v>
      </c>
      <c r="P237" s="784">
        <f t="shared" si="11"/>
        <v>0</v>
      </c>
    </row>
    <row r="238" spans="3:16" ht="12.75">
      <c r="C238" s="780">
        <f>IF(D178="","-",+C237+1)</f>
        <v>2068</v>
      </c>
      <c r="D238" s="728">
        <f aca="true" t="shared" si="16" ref="D238:D243">F237</f>
        <v>14175430.833333328</v>
      </c>
      <c r="E238" s="781">
        <f t="shared" si="14"/>
        <v>1328946.640625</v>
      </c>
      <c r="F238" s="781">
        <f t="shared" si="8"/>
        <v>12846484.192708328</v>
      </c>
      <c r="G238" s="728">
        <f t="shared" si="13"/>
        <v>13510957.513020828</v>
      </c>
      <c r="H238" s="786">
        <f>+J179*G238+E238</f>
        <v>2833705.832661625</v>
      </c>
      <c r="I238" s="787">
        <f>+J180*G238+E238</f>
        <v>2833705.832661625</v>
      </c>
      <c r="J238" s="784">
        <f t="shared" si="15"/>
        <v>0</v>
      </c>
      <c r="K238" s="784"/>
      <c r="L238" s="804"/>
      <c r="M238" s="784">
        <f t="shared" si="9"/>
        <v>0</v>
      </c>
      <c r="N238" s="804"/>
      <c r="O238" s="784">
        <f t="shared" si="10"/>
        <v>0</v>
      </c>
      <c r="P238" s="784">
        <f t="shared" si="11"/>
        <v>0</v>
      </c>
    </row>
    <row r="239" spans="3:16" ht="12.75">
      <c r="C239" s="780">
        <f>IF(D178="","-",+C238+1)</f>
        <v>2069</v>
      </c>
      <c r="D239" s="728">
        <f t="shared" si="16"/>
        <v>12846484.192708328</v>
      </c>
      <c r="E239" s="781">
        <f t="shared" si="14"/>
        <v>1328946.640625</v>
      </c>
      <c r="F239" s="781">
        <f t="shared" si="8"/>
        <v>11517537.552083328</v>
      </c>
      <c r="G239" s="728">
        <f t="shared" si="13"/>
        <v>12182010.872395828</v>
      </c>
      <c r="H239" s="786">
        <f>+J179*G239+E239</f>
        <v>2685696.731805563</v>
      </c>
      <c r="I239" s="787">
        <f>+J180*G239+E239</f>
        <v>2685696.731805563</v>
      </c>
      <c r="J239" s="784">
        <f t="shared" si="15"/>
        <v>0</v>
      </c>
      <c r="K239" s="784"/>
      <c r="L239" s="804"/>
      <c r="M239" s="784">
        <f t="shared" si="9"/>
        <v>0</v>
      </c>
      <c r="N239" s="804"/>
      <c r="O239" s="784">
        <f t="shared" si="10"/>
        <v>0</v>
      </c>
      <c r="P239" s="784">
        <f t="shared" si="11"/>
        <v>0</v>
      </c>
    </row>
    <row r="240" spans="3:16" ht="12.75">
      <c r="C240" s="780">
        <f>IF(D178="","-",+C239+1)</f>
        <v>2070</v>
      </c>
      <c r="D240" s="728">
        <f t="shared" si="16"/>
        <v>11517537.552083328</v>
      </c>
      <c r="E240" s="781">
        <f t="shared" si="14"/>
        <v>1328946.640625</v>
      </c>
      <c r="F240" s="781">
        <f t="shared" si="8"/>
        <v>10188590.911458328</v>
      </c>
      <c r="G240" s="728">
        <f t="shared" si="13"/>
        <v>10853064.231770828</v>
      </c>
      <c r="H240" s="786">
        <f>+J179*G240+E240</f>
        <v>2537687.630949502</v>
      </c>
      <c r="I240" s="787">
        <f>+J180*G240+E240</f>
        <v>2537687.630949502</v>
      </c>
      <c r="J240" s="784">
        <f t="shared" si="15"/>
        <v>0</v>
      </c>
      <c r="K240" s="784"/>
      <c r="L240" s="804"/>
      <c r="M240" s="784">
        <f t="shared" si="9"/>
        <v>0</v>
      </c>
      <c r="N240" s="804"/>
      <c r="O240" s="784">
        <f t="shared" si="10"/>
        <v>0</v>
      </c>
      <c r="P240" s="784">
        <f t="shared" si="11"/>
        <v>0</v>
      </c>
    </row>
    <row r="241" spans="3:16" ht="12.75">
      <c r="C241" s="780">
        <f>IF(D178="","-",+C240+1)</f>
        <v>2071</v>
      </c>
      <c r="D241" s="728">
        <f t="shared" si="16"/>
        <v>10188590.911458328</v>
      </c>
      <c r="E241" s="781">
        <f t="shared" si="14"/>
        <v>1328946.640625</v>
      </c>
      <c r="F241" s="781">
        <f t="shared" si="8"/>
        <v>8859644.270833328</v>
      </c>
      <c r="G241" s="728">
        <f t="shared" si="13"/>
        <v>9524117.591145828</v>
      </c>
      <c r="H241" s="786">
        <f>+J179*G241+E241</f>
        <v>2389678.5300934403</v>
      </c>
      <c r="I241" s="787">
        <f>+J180*G241+E241</f>
        <v>2389678.5300934403</v>
      </c>
      <c r="J241" s="784">
        <f t="shared" si="15"/>
        <v>0</v>
      </c>
      <c r="K241" s="784"/>
      <c r="L241" s="804"/>
      <c r="M241" s="784">
        <f t="shared" si="9"/>
        <v>0</v>
      </c>
      <c r="N241" s="804"/>
      <c r="O241" s="784">
        <f t="shared" si="10"/>
        <v>0</v>
      </c>
      <c r="P241" s="784">
        <f t="shared" si="11"/>
        <v>0</v>
      </c>
    </row>
    <row r="242" spans="3:16" ht="12.75">
      <c r="C242" s="780">
        <f>IF(D178="","-",+C241+1)</f>
        <v>2072</v>
      </c>
      <c r="D242" s="728">
        <f t="shared" si="16"/>
        <v>8859644.270833328</v>
      </c>
      <c r="E242" s="781">
        <f t="shared" si="14"/>
        <v>1328946.640625</v>
      </c>
      <c r="F242" s="781">
        <f t="shared" si="8"/>
        <v>7530697.630208328</v>
      </c>
      <c r="G242" s="728">
        <f t="shared" si="13"/>
        <v>8195170.950520828</v>
      </c>
      <c r="H242" s="786">
        <f>+J179*G242+E242</f>
        <v>2241669.4292373788</v>
      </c>
      <c r="I242" s="787">
        <f>+J180*G242+E242</f>
        <v>2241669.4292373788</v>
      </c>
      <c r="J242" s="784">
        <f t="shared" si="15"/>
        <v>0</v>
      </c>
      <c r="K242" s="784"/>
      <c r="L242" s="804"/>
      <c r="M242" s="784">
        <f t="shared" si="9"/>
        <v>0</v>
      </c>
      <c r="N242" s="804"/>
      <c r="O242" s="784">
        <f t="shared" si="10"/>
        <v>0</v>
      </c>
      <c r="P242" s="784">
        <f t="shared" si="11"/>
        <v>0</v>
      </c>
    </row>
    <row r="243" spans="3:16" ht="13.5" thickBot="1">
      <c r="C243" s="790">
        <f>IF(D178="","-",+C242+1)</f>
        <v>2073</v>
      </c>
      <c r="D243" s="791">
        <f t="shared" si="16"/>
        <v>7530697.630208328</v>
      </c>
      <c r="E243" s="781">
        <f t="shared" si="14"/>
        <v>1328946.640625</v>
      </c>
      <c r="F243" s="792">
        <f t="shared" si="8"/>
        <v>6201750.989583328</v>
      </c>
      <c r="G243" s="791">
        <f t="shared" si="13"/>
        <v>6866224.309895828</v>
      </c>
      <c r="H243" s="793">
        <f>+J179*G243+E243</f>
        <v>2093660.3283813172</v>
      </c>
      <c r="I243" s="793">
        <f>+J180*G243+E243</f>
        <v>2093660.3283813172</v>
      </c>
      <c r="J243" s="794">
        <f t="shared" si="15"/>
        <v>0</v>
      </c>
      <c r="K243" s="784"/>
      <c r="L243" s="805"/>
      <c r="M243" s="794">
        <f t="shared" si="9"/>
        <v>0</v>
      </c>
      <c r="N243" s="805"/>
      <c r="O243" s="794">
        <f t="shared" si="10"/>
        <v>0</v>
      </c>
      <c r="P243" s="794">
        <f t="shared" si="11"/>
        <v>0</v>
      </c>
    </row>
    <row r="244" spans="3:15" ht="12.75">
      <c r="C244" s="728" t="s">
        <v>92</v>
      </c>
      <c r="D244" s="722"/>
      <c r="E244" s="722">
        <f>SUM(E184:E243)</f>
        <v>78850834.01041667</v>
      </c>
      <c r="F244" s="722"/>
      <c r="G244" s="722"/>
      <c r="H244" s="722">
        <f>SUM(H184:H243)</f>
        <v>386660427.42407256</v>
      </c>
      <c r="I244" s="722">
        <f>SUM(I184:I243)</f>
        <v>386660427.42407256</v>
      </c>
      <c r="J244" s="722">
        <f>SUM(J184:J243)</f>
        <v>0</v>
      </c>
      <c r="K244" s="722"/>
      <c r="L244" s="722"/>
      <c r="M244" s="722"/>
      <c r="N244" s="722"/>
      <c r="O244" s="722"/>
    </row>
    <row r="245" spans="4:15" ht="12.75">
      <c r="D245" s="532"/>
      <c r="E245" s="308"/>
      <c r="F245" s="308"/>
      <c r="G245" s="308"/>
      <c r="H245" s="308"/>
      <c r="I245" s="701"/>
      <c r="J245" s="701"/>
      <c r="K245" s="722"/>
      <c r="L245" s="701"/>
      <c r="M245" s="701"/>
      <c r="N245" s="701"/>
      <c r="O245" s="701"/>
    </row>
    <row r="246" spans="3:15" ht="12.75">
      <c r="C246" s="308" t="s">
        <v>14</v>
      </c>
      <c r="D246" s="532"/>
      <c r="E246" s="308"/>
      <c r="F246" s="308"/>
      <c r="G246" s="308"/>
      <c r="H246" s="308"/>
      <c r="I246" s="701"/>
      <c r="J246" s="701"/>
      <c r="K246" s="722"/>
      <c r="L246" s="701"/>
      <c r="M246" s="701"/>
      <c r="N246" s="701"/>
      <c r="O246" s="701"/>
    </row>
    <row r="247" spans="3:15" ht="12.75">
      <c r="C247" s="308"/>
      <c r="D247" s="532"/>
      <c r="E247" s="308"/>
      <c r="F247" s="308"/>
      <c r="G247" s="308"/>
      <c r="H247" s="308"/>
      <c r="I247" s="701"/>
      <c r="J247" s="701"/>
      <c r="K247" s="722"/>
      <c r="L247" s="701"/>
      <c r="M247" s="701"/>
      <c r="N247" s="701"/>
      <c r="O247" s="701"/>
    </row>
    <row r="248" spans="3:15" ht="12.75">
      <c r="C248" s="741" t="s">
        <v>15</v>
      </c>
      <c r="D248" s="728"/>
      <c r="E248" s="728"/>
      <c r="F248" s="728"/>
      <c r="G248" s="728"/>
      <c r="H248" s="722"/>
      <c r="I248" s="722"/>
      <c r="J248" s="796"/>
      <c r="K248" s="796"/>
      <c r="L248" s="796"/>
      <c r="M248" s="796"/>
      <c r="N248" s="796"/>
      <c r="O248" s="796"/>
    </row>
    <row r="249" spans="3:15" ht="12.75">
      <c r="C249" s="727" t="s">
        <v>272</v>
      </c>
      <c r="D249" s="728"/>
      <c r="E249" s="728"/>
      <c r="F249" s="728"/>
      <c r="G249" s="728"/>
      <c r="H249" s="722"/>
      <c r="I249" s="722"/>
      <c r="J249" s="796"/>
      <c r="K249" s="796"/>
      <c r="L249" s="796"/>
      <c r="M249" s="796"/>
      <c r="N249" s="796"/>
      <c r="O249" s="796"/>
    </row>
    <row r="250" spans="3:15" ht="12.75">
      <c r="C250" s="727" t="s">
        <v>93</v>
      </c>
      <c r="D250" s="728"/>
      <c r="E250" s="728"/>
      <c r="F250" s="728"/>
      <c r="G250" s="728"/>
      <c r="H250" s="722"/>
      <c r="I250" s="722"/>
      <c r="J250" s="796"/>
      <c r="K250" s="796"/>
      <c r="L250" s="796"/>
      <c r="M250" s="796"/>
      <c r="N250" s="796"/>
      <c r="O250" s="796"/>
    </row>
    <row r="251" spans="1:17" ht="20.25">
      <c r="A251" s="729" t="str">
        <f>""&amp;A176&amp;" Worksheet K -  ATRR TRUE-UP Calculation for PJM Projects Charged to Benefiting Zones"</f>
        <v> Worksheet K -  ATRR TRUE-UP Calculation for PJM Projects Charged to Benefiting Zones</v>
      </c>
      <c r="B251" s="341"/>
      <c r="C251" s="717"/>
      <c r="D251" s="532"/>
      <c r="E251" s="308"/>
      <c r="F251" s="700"/>
      <c r="G251" s="700"/>
      <c r="H251" s="308"/>
      <c r="I251" s="701"/>
      <c r="L251" s="557"/>
      <c r="M251" s="557"/>
      <c r="N251" s="557"/>
      <c r="O251" s="646" t="str">
        <f>"Page "&amp;SUM(Q$6:Q251)&amp;" of "</f>
        <v>Page 4 of </v>
      </c>
      <c r="P251" s="647">
        <f>COUNT(Q$6:Q$58387)</f>
        <v>12</v>
      </c>
      <c r="Q251" s="730">
        <v>1</v>
      </c>
    </row>
    <row r="252" spans="2:11" ht="12.75">
      <c r="B252" s="341"/>
      <c r="C252" s="308"/>
      <c r="D252" s="532"/>
      <c r="E252" s="308"/>
      <c r="F252" s="308"/>
      <c r="G252" s="308"/>
      <c r="H252" s="308"/>
      <c r="I252" s="701"/>
      <c r="J252" s="308"/>
      <c r="K252" s="420"/>
    </row>
    <row r="253" spans="2:17" ht="18">
      <c r="B253" s="650" t="s">
        <v>475</v>
      </c>
      <c r="C253" s="731" t="s">
        <v>94</v>
      </c>
      <c r="D253" s="532"/>
      <c r="E253" s="308"/>
      <c r="F253" s="308"/>
      <c r="G253" s="308"/>
      <c r="H253" s="308"/>
      <c r="I253" s="701"/>
      <c r="J253" s="701"/>
      <c r="K253" s="722"/>
      <c r="L253" s="701"/>
      <c r="M253" s="701"/>
      <c r="N253" s="701"/>
      <c r="O253" s="701"/>
      <c r="Q253" s="420"/>
    </row>
    <row r="254" spans="2:15" ht="18.75">
      <c r="B254" s="650"/>
      <c r="C254" s="649"/>
      <c r="D254" s="532"/>
      <c r="E254" s="308"/>
      <c r="F254" s="308"/>
      <c r="G254" s="308"/>
      <c r="H254" s="308"/>
      <c r="I254" s="701"/>
      <c r="J254" s="701"/>
      <c r="K254" s="722"/>
      <c r="L254" s="701"/>
      <c r="M254" s="701"/>
      <c r="N254" s="701"/>
      <c r="O254" s="701"/>
    </row>
    <row r="255" spans="2:15" ht="18.75">
      <c r="B255" s="650"/>
      <c r="C255" s="649" t="s">
        <v>95</v>
      </c>
      <c r="D255" s="532"/>
      <c r="E255" s="308"/>
      <c r="F255" s="308"/>
      <c r="G255" s="308"/>
      <c r="H255" s="308"/>
      <c r="I255" s="701"/>
      <c r="J255" s="701"/>
      <c r="K255" s="722"/>
      <c r="L255" s="701"/>
      <c r="M255" s="701"/>
      <c r="N255" s="701"/>
      <c r="O255" s="701"/>
    </row>
    <row r="256" spans="3:15" ht="15.75" thickBot="1">
      <c r="C256" s="236"/>
      <c r="D256" s="532"/>
      <c r="E256" s="308"/>
      <c r="F256" s="308"/>
      <c r="G256" s="308"/>
      <c r="H256" s="308"/>
      <c r="I256" s="701"/>
      <c r="J256" s="701"/>
      <c r="K256" s="722"/>
      <c r="L256" s="701"/>
      <c r="M256" s="701"/>
      <c r="N256" s="701"/>
      <c r="O256" s="701"/>
    </row>
    <row r="257" spans="3:15" ht="15.75">
      <c r="C257" s="652" t="s">
        <v>96</v>
      </c>
      <c r="D257" s="532"/>
      <c r="E257" s="308"/>
      <c r="F257" s="308"/>
      <c r="G257" s="308"/>
      <c r="H257" s="798"/>
      <c r="I257" s="308" t="s">
        <v>75</v>
      </c>
      <c r="J257" s="308"/>
      <c r="K257" s="420"/>
      <c r="L257" s="827">
        <f>+J263</f>
        <v>2017</v>
      </c>
      <c r="M257" s="808" t="s">
        <v>53</v>
      </c>
      <c r="N257" s="808" t="s">
        <v>54</v>
      </c>
      <c r="O257" s="809" t="s">
        <v>56</v>
      </c>
    </row>
    <row r="258" spans="3:15" ht="15.75">
      <c r="C258" s="652"/>
      <c r="D258" s="532"/>
      <c r="E258" s="308"/>
      <c r="F258" s="308"/>
      <c r="H258" s="308"/>
      <c r="I258" s="736"/>
      <c r="J258" s="736"/>
      <c r="K258" s="737"/>
      <c r="L258" s="828" t="s">
        <v>244</v>
      </c>
      <c r="M258" s="829">
        <f>VLOOKUP(J263,C270:P329,10)</f>
        <v>2437179</v>
      </c>
      <c r="N258" s="829">
        <f>VLOOKUP(J263,C270:P329,12)</f>
        <v>2437179</v>
      </c>
      <c r="O258" s="830">
        <f>+N258-M258</f>
        <v>0</v>
      </c>
    </row>
    <row r="259" spans="3:15" ht="12.75" customHeight="1">
      <c r="C259" s="741" t="s">
        <v>97</v>
      </c>
      <c r="D259" s="1473" t="s">
        <v>892</v>
      </c>
      <c r="E259" s="1473"/>
      <c r="F259" s="1473"/>
      <c r="G259" s="1473"/>
      <c r="H259" s="1473"/>
      <c r="I259" s="1473"/>
      <c r="J259" s="701"/>
      <c r="K259" s="722"/>
      <c r="L259" s="828" t="s">
        <v>245</v>
      </c>
      <c r="M259" s="831">
        <f>VLOOKUP(J263,C270:P329,6)</f>
        <v>2400802.6202005176</v>
      </c>
      <c r="N259" s="831">
        <f>VLOOKUP(J263,C270:P329,7)</f>
        <v>2400802.6202005176</v>
      </c>
      <c r="O259" s="832">
        <f>+N259-M259</f>
        <v>0</v>
      </c>
    </row>
    <row r="260" spans="3:15" ht="13.5" thickBot="1">
      <c r="C260" s="745"/>
      <c r="D260" s="1312"/>
      <c r="E260" s="1312"/>
      <c r="F260" s="1312"/>
      <c r="G260" s="1312"/>
      <c r="H260" s="1312"/>
      <c r="I260" s="1312"/>
      <c r="J260" s="701"/>
      <c r="K260" s="722"/>
      <c r="L260" s="764" t="s">
        <v>246</v>
      </c>
      <c r="M260" s="833">
        <f>+M259-M258</f>
        <v>-36376.37979948241</v>
      </c>
      <c r="N260" s="833">
        <f>+N259-N258</f>
        <v>-36376.37979948241</v>
      </c>
      <c r="O260" s="834">
        <f>+O259-O258</f>
        <v>0</v>
      </c>
    </row>
    <row r="261" spans="3:16" ht="13.5" thickBot="1">
      <c r="C261" s="748"/>
      <c r="D261" s="749"/>
      <c r="E261" s="747"/>
      <c r="F261" s="747"/>
      <c r="G261" s="747"/>
      <c r="H261" s="747"/>
      <c r="I261" s="747"/>
      <c r="J261" s="747"/>
      <c r="K261" s="750"/>
      <c r="L261" s="747"/>
      <c r="M261" s="747"/>
      <c r="N261" s="747"/>
      <c r="O261" s="747"/>
      <c r="P261" s="341"/>
    </row>
    <row r="262" spans="3:16" ht="13.5" thickBot="1">
      <c r="C262" s="751" t="s">
        <v>98</v>
      </c>
      <c r="D262" s="752"/>
      <c r="E262" s="752"/>
      <c r="F262" s="752"/>
      <c r="G262" s="752"/>
      <c r="H262" s="752"/>
      <c r="I262" s="752"/>
      <c r="J262" s="752"/>
      <c r="K262" s="754"/>
      <c r="P262" s="755"/>
    </row>
    <row r="263" spans="3:16" ht="15">
      <c r="C263" s="756" t="s">
        <v>76</v>
      </c>
      <c r="D263" s="1362">
        <v>19597955</v>
      </c>
      <c r="E263" s="717" t="s">
        <v>77</v>
      </c>
      <c r="H263" s="757"/>
      <c r="I263" s="757"/>
      <c r="J263" s="758">
        <v>2017</v>
      </c>
      <c r="K263" s="548"/>
      <c r="L263" s="1462" t="s">
        <v>78</v>
      </c>
      <c r="M263" s="1462"/>
      <c r="N263" s="1462"/>
      <c r="O263" s="1462"/>
      <c r="P263" s="420"/>
    </row>
    <row r="264" spans="3:16" ht="12.75">
      <c r="C264" s="756" t="s">
        <v>79</v>
      </c>
      <c r="D264" s="1363">
        <v>2014</v>
      </c>
      <c r="E264" s="756" t="s">
        <v>80</v>
      </c>
      <c r="F264" s="757"/>
      <c r="G264" s="757"/>
      <c r="I264" s="169"/>
      <c r="J264" s="802">
        <f>IF(H257="",0,$F$15)</f>
        <v>0</v>
      </c>
      <c r="K264" s="759"/>
      <c r="L264" s="722" t="s">
        <v>286</v>
      </c>
      <c r="P264" s="420"/>
    </row>
    <row r="265" spans="3:16" ht="12.75">
      <c r="C265" s="756" t="s">
        <v>81</v>
      </c>
      <c r="D265" s="1362">
        <v>11</v>
      </c>
      <c r="E265" s="756" t="s">
        <v>82</v>
      </c>
      <c r="F265" s="757"/>
      <c r="G265" s="757"/>
      <c r="I265" s="169"/>
      <c r="J265" s="760">
        <f>$F$68</f>
        <v>0.11137324579597359</v>
      </c>
      <c r="K265" s="761"/>
      <c r="L265" s="308" t="str">
        <f>"          INPUT TRUE-UP ARR (WITH &amp; WITHOUT INCENTIVES) FROM EACH PRIOR YEAR"</f>
        <v>          INPUT TRUE-UP ARR (WITH &amp; WITHOUT INCENTIVES) FROM EACH PRIOR YEAR</v>
      </c>
      <c r="P265" s="420"/>
    </row>
    <row r="266" spans="3:16" ht="12.75">
      <c r="C266" s="756" t="s">
        <v>83</v>
      </c>
      <c r="D266" s="762">
        <f>H$77</f>
        <v>64</v>
      </c>
      <c r="E266" s="756" t="s">
        <v>84</v>
      </c>
      <c r="F266" s="757"/>
      <c r="G266" s="757"/>
      <c r="I266" s="169"/>
      <c r="J266" s="760">
        <f>IF(H257="",+J265,$F$67)</f>
        <v>0.11137324579597359</v>
      </c>
      <c r="K266" s="763"/>
      <c r="L266" s="308" t="s">
        <v>166</v>
      </c>
      <c r="M266" s="763"/>
      <c r="N266" s="763"/>
      <c r="O266" s="763"/>
      <c r="P266" s="420"/>
    </row>
    <row r="267" spans="3:16" ht="13.5" thickBot="1">
      <c r="C267" s="756" t="s">
        <v>85</v>
      </c>
      <c r="D267" s="799" t="s">
        <v>877</v>
      </c>
      <c r="E267" s="764" t="s">
        <v>86</v>
      </c>
      <c r="F267" s="765"/>
      <c r="G267" s="765"/>
      <c r="H267" s="766"/>
      <c r="I267" s="766"/>
      <c r="J267" s="744">
        <f>IF(D263=0,0,D263/D266)</f>
        <v>306218.046875</v>
      </c>
      <c r="K267" s="722"/>
      <c r="L267" s="722" t="s">
        <v>167</v>
      </c>
      <c r="M267" s="722"/>
      <c r="N267" s="722"/>
      <c r="O267" s="722"/>
      <c r="P267" s="420"/>
    </row>
    <row r="268" spans="2:16" ht="38.25">
      <c r="B268" s="837"/>
      <c r="C268" s="767" t="s">
        <v>76</v>
      </c>
      <c r="D268" s="768" t="s">
        <v>87</v>
      </c>
      <c r="E268" s="769" t="s">
        <v>88</v>
      </c>
      <c r="F268" s="768" t="s">
        <v>89</v>
      </c>
      <c r="G268" s="768" t="s">
        <v>247</v>
      </c>
      <c r="H268" s="769" t="s">
        <v>160</v>
      </c>
      <c r="I268" s="770" t="s">
        <v>160</v>
      </c>
      <c r="J268" s="767" t="s">
        <v>99</v>
      </c>
      <c r="K268" s="771"/>
      <c r="L268" s="769" t="s">
        <v>162</v>
      </c>
      <c r="M268" s="769" t="s">
        <v>168</v>
      </c>
      <c r="N268" s="769" t="s">
        <v>162</v>
      </c>
      <c r="O268" s="769" t="s">
        <v>170</v>
      </c>
      <c r="P268" s="769" t="s">
        <v>90</v>
      </c>
    </row>
    <row r="269" spans="3:16" ht="13.5" thickBot="1">
      <c r="C269" s="773" t="s">
        <v>478</v>
      </c>
      <c r="D269" s="774" t="s">
        <v>479</v>
      </c>
      <c r="E269" s="773" t="s">
        <v>372</v>
      </c>
      <c r="F269" s="774" t="s">
        <v>479</v>
      </c>
      <c r="G269" s="774" t="s">
        <v>479</v>
      </c>
      <c r="H269" s="775" t="s">
        <v>102</v>
      </c>
      <c r="I269" s="776" t="s">
        <v>104</v>
      </c>
      <c r="J269" s="777" t="s">
        <v>16</v>
      </c>
      <c r="K269" s="778"/>
      <c r="L269" s="775" t="s">
        <v>91</v>
      </c>
      <c r="M269" s="775" t="s">
        <v>91</v>
      </c>
      <c r="N269" s="775" t="s">
        <v>264</v>
      </c>
      <c r="O269" s="775" t="s">
        <v>264</v>
      </c>
      <c r="P269" s="775" t="s">
        <v>264</v>
      </c>
    </row>
    <row r="270" spans="3:16" ht="12.75">
      <c r="C270" s="780">
        <f>IF(D264="","-",D264)</f>
        <v>2014</v>
      </c>
      <c r="D270" s="728">
        <f>+D263</f>
        <v>19597955</v>
      </c>
      <c r="E270" s="786">
        <f>+J267/12*(12-D265)</f>
        <v>25518.170572916668</v>
      </c>
      <c r="F270" s="835">
        <f aca="true" t="shared" si="17" ref="F270:F329">+D270-E270</f>
        <v>19572436.829427082</v>
      </c>
      <c r="G270" s="728">
        <f>+(D270+F270)/2</f>
        <v>19585195.91471354</v>
      </c>
      <c r="H270" s="782">
        <f>+J265*G270+E270</f>
        <v>2206785.009144605</v>
      </c>
      <c r="I270" s="783">
        <f>+J266*G270+E270</f>
        <v>2206785.009144605</v>
      </c>
      <c r="J270" s="784">
        <f>+I270-H270</f>
        <v>0</v>
      </c>
      <c r="K270" s="784"/>
      <c r="L270" s="803">
        <v>2093479</v>
      </c>
      <c r="M270" s="836">
        <f aca="true" t="shared" si="18" ref="M270:M329">IF(L270&lt;&gt;0,+H270-L270,0)</f>
        <v>113306.00914460514</v>
      </c>
      <c r="N270" s="803">
        <v>2093479</v>
      </c>
      <c r="O270" s="836">
        <f aca="true" t="shared" si="19" ref="O270:O329">IF(N270&lt;&gt;0,+I270-N270,0)</f>
        <v>113306.00914460514</v>
      </c>
      <c r="P270" s="836">
        <f aca="true" t="shared" si="20" ref="P270:P329">+O270-M270</f>
        <v>0</v>
      </c>
    </row>
    <row r="271" spans="3:16" ht="12.75">
      <c r="C271" s="780">
        <f>IF(D264="","-",+C270+1)</f>
        <v>2015</v>
      </c>
      <c r="D271" s="728">
        <f aca="true" t="shared" si="21" ref="D271:D323">F270</f>
        <v>19572436.829427082</v>
      </c>
      <c r="E271" s="781">
        <f>IF(D271&gt;$J$267,$J$267,D271)</f>
        <v>306218.046875</v>
      </c>
      <c r="F271" s="781">
        <f t="shared" si="17"/>
        <v>19266218.782552082</v>
      </c>
      <c r="G271" s="728">
        <f aca="true" t="shared" si="22" ref="G271:G329">+(D271+F271)/2</f>
        <v>19419327.805989582</v>
      </c>
      <c r="H271" s="786">
        <f>+J265*G271+E271</f>
        <v>2469011.615804062</v>
      </c>
      <c r="I271" s="787">
        <f>+J266*G271+E271</f>
        <v>2469011.615804062</v>
      </c>
      <c r="J271" s="784">
        <f>+I271-H271</f>
        <v>0</v>
      </c>
      <c r="K271" s="784"/>
      <c r="L271" s="804">
        <v>2304583</v>
      </c>
      <c r="M271" s="784">
        <f t="shared" si="18"/>
        <v>164428.61580406222</v>
      </c>
      <c r="N271" s="804">
        <v>2304583</v>
      </c>
      <c r="O271" s="784">
        <f t="shared" si="19"/>
        <v>164428.61580406222</v>
      </c>
      <c r="P271" s="784">
        <f t="shared" si="20"/>
        <v>0</v>
      </c>
    </row>
    <row r="272" spans="3:16" ht="12.75">
      <c r="C272" s="780">
        <f>IF(D264="","-",+C271+1)</f>
        <v>2016</v>
      </c>
      <c r="D272" s="728">
        <f t="shared" si="21"/>
        <v>19266218.782552082</v>
      </c>
      <c r="E272" s="781">
        <f>IF(D272&gt;$J$267,$J$267,D272)</f>
        <v>306218.046875</v>
      </c>
      <c r="F272" s="781">
        <f t="shared" si="17"/>
        <v>18960000.735677082</v>
      </c>
      <c r="G272" s="728">
        <f t="shared" si="22"/>
        <v>19113109.759114582</v>
      </c>
      <c r="H272" s="786">
        <f>+J265*G272+E272</f>
        <v>2434907.11800229</v>
      </c>
      <c r="I272" s="787">
        <f>+J266*G272+E272</f>
        <v>2434907.11800229</v>
      </c>
      <c r="J272" s="784">
        <f aca="true" t="shared" si="23" ref="J272:J329">+I272-H272</f>
        <v>0</v>
      </c>
      <c r="K272" s="784"/>
      <c r="L272" s="804">
        <v>2231859</v>
      </c>
      <c r="M272" s="784">
        <f t="shared" si="18"/>
        <v>203048.1180022899</v>
      </c>
      <c r="N272" s="804">
        <v>2231859</v>
      </c>
      <c r="O272" s="784">
        <f t="shared" si="19"/>
        <v>203048.1180022899</v>
      </c>
      <c r="P272" s="784">
        <f t="shared" si="20"/>
        <v>0</v>
      </c>
    </row>
    <row r="273" spans="3:16" ht="12.75">
      <c r="C273" s="1364">
        <f>IF(D264="","-",+C272+1)</f>
        <v>2017</v>
      </c>
      <c r="D273" s="728">
        <f t="shared" si="21"/>
        <v>18960000.735677082</v>
      </c>
      <c r="E273" s="781">
        <f aca="true" t="shared" si="24" ref="E273:E329">IF(D273&gt;$J$267,$J$267,D273)</f>
        <v>306218.046875</v>
      </c>
      <c r="F273" s="781">
        <f t="shared" si="17"/>
        <v>18653782.688802082</v>
      </c>
      <c r="G273" s="728">
        <f t="shared" si="22"/>
        <v>18806891.712239582</v>
      </c>
      <c r="H273" s="786">
        <f>+J265*G273+E273</f>
        <v>2400802.6202005176</v>
      </c>
      <c r="I273" s="787">
        <f>+J266*G273+E273</f>
        <v>2400802.6202005176</v>
      </c>
      <c r="J273" s="784">
        <f t="shared" si="23"/>
        <v>0</v>
      </c>
      <c r="K273" s="784"/>
      <c r="L273" s="804">
        <v>2437179</v>
      </c>
      <c r="M273" s="784">
        <f t="shared" si="18"/>
        <v>-36376.37979948241</v>
      </c>
      <c r="N273" s="804">
        <v>2437179</v>
      </c>
      <c r="O273" s="784">
        <f t="shared" si="19"/>
        <v>-36376.37979948241</v>
      </c>
      <c r="P273" s="784">
        <f t="shared" si="20"/>
        <v>0</v>
      </c>
    </row>
    <row r="274" spans="3:16" ht="12.75">
      <c r="C274" s="1308">
        <f>IF(D264="","-",+C273+1)</f>
        <v>2018</v>
      </c>
      <c r="D274" s="728">
        <f t="shared" si="21"/>
        <v>18653782.688802082</v>
      </c>
      <c r="E274" s="781">
        <f t="shared" si="24"/>
        <v>306218.046875</v>
      </c>
      <c r="F274" s="781">
        <f t="shared" si="17"/>
        <v>18347564.641927082</v>
      </c>
      <c r="G274" s="728">
        <f t="shared" si="22"/>
        <v>18500673.665364582</v>
      </c>
      <c r="H274" s="786">
        <f>+J265*G274+E274</f>
        <v>2366698.1223987453</v>
      </c>
      <c r="I274" s="787">
        <f>+J266*G274+E274</f>
        <v>2366698.1223987453</v>
      </c>
      <c r="J274" s="784">
        <f t="shared" si="23"/>
        <v>0</v>
      </c>
      <c r="K274" s="784"/>
      <c r="L274" s="804"/>
      <c r="M274" s="784">
        <f t="shared" si="18"/>
        <v>0</v>
      </c>
      <c r="N274" s="804"/>
      <c r="O274" s="784">
        <f t="shared" si="19"/>
        <v>0</v>
      </c>
      <c r="P274" s="784">
        <f t="shared" si="20"/>
        <v>0</v>
      </c>
    </row>
    <row r="275" spans="3:16" ht="12.75">
      <c r="C275" s="780">
        <f>IF(D264="","-",+C274+1)</f>
        <v>2019</v>
      </c>
      <c r="D275" s="728">
        <f t="shared" si="21"/>
        <v>18347564.641927082</v>
      </c>
      <c r="E275" s="781">
        <f t="shared" si="24"/>
        <v>306218.046875</v>
      </c>
      <c r="F275" s="781">
        <f t="shared" si="17"/>
        <v>18041346.595052082</v>
      </c>
      <c r="G275" s="728">
        <f t="shared" si="22"/>
        <v>18194455.618489582</v>
      </c>
      <c r="H275" s="786">
        <f>+J265*G275+E275</f>
        <v>2332593.624596973</v>
      </c>
      <c r="I275" s="787">
        <f>+J266*G275+E275</f>
        <v>2332593.624596973</v>
      </c>
      <c r="J275" s="784">
        <f t="shared" si="23"/>
        <v>0</v>
      </c>
      <c r="K275" s="784"/>
      <c r="L275" s="804"/>
      <c r="M275" s="784">
        <f t="shared" si="18"/>
        <v>0</v>
      </c>
      <c r="N275" s="804"/>
      <c r="O275" s="784">
        <f t="shared" si="19"/>
        <v>0</v>
      </c>
      <c r="P275" s="784">
        <f t="shared" si="20"/>
        <v>0</v>
      </c>
    </row>
    <row r="276" spans="3:16" ht="12.75">
      <c r="C276" s="780">
        <f>IF(D264="","-",+C275+1)</f>
        <v>2020</v>
      </c>
      <c r="D276" s="728">
        <f t="shared" si="21"/>
        <v>18041346.595052082</v>
      </c>
      <c r="E276" s="781">
        <f t="shared" si="24"/>
        <v>306218.046875</v>
      </c>
      <c r="F276" s="781">
        <f t="shared" si="17"/>
        <v>17735128.548177082</v>
      </c>
      <c r="G276" s="728">
        <f t="shared" si="22"/>
        <v>17888237.571614582</v>
      </c>
      <c r="H276" s="786">
        <f>+J265*G276+E276</f>
        <v>2298489.1267952006</v>
      </c>
      <c r="I276" s="787">
        <f>+J266*G276+E276</f>
        <v>2298489.1267952006</v>
      </c>
      <c r="J276" s="784">
        <f t="shared" si="23"/>
        <v>0</v>
      </c>
      <c r="K276" s="784"/>
      <c r="L276" s="804"/>
      <c r="M276" s="784">
        <f t="shared" si="18"/>
        <v>0</v>
      </c>
      <c r="N276" s="804"/>
      <c r="O276" s="784">
        <f t="shared" si="19"/>
        <v>0</v>
      </c>
      <c r="P276" s="784">
        <f t="shared" si="20"/>
        <v>0</v>
      </c>
    </row>
    <row r="277" spans="3:16" ht="12.75">
      <c r="C277" s="780">
        <f>IF(D264="","-",+C276+1)</f>
        <v>2021</v>
      </c>
      <c r="D277" s="728">
        <f t="shared" si="21"/>
        <v>17735128.548177082</v>
      </c>
      <c r="E277" s="781">
        <f t="shared" si="24"/>
        <v>306218.046875</v>
      </c>
      <c r="F277" s="781">
        <f t="shared" si="17"/>
        <v>17428910.501302082</v>
      </c>
      <c r="G277" s="728">
        <f t="shared" si="22"/>
        <v>17582019.524739582</v>
      </c>
      <c r="H277" s="786">
        <f>+J265*G277+E277</f>
        <v>2264384.6289934283</v>
      </c>
      <c r="I277" s="787">
        <f>+J266*G277+E277</f>
        <v>2264384.6289934283</v>
      </c>
      <c r="J277" s="784">
        <f t="shared" si="23"/>
        <v>0</v>
      </c>
      <c r="K277" s="784"/>
      <c r="L277" s="804"/>
      <c r="M277" s="784">
        <f t="shared" si="18"/>
        <v>0</v>
      </c>
      <c r="N277" s="804"/>
      <c r="O277" s="784">
        <f t="shared" si="19"/>
        <v>0</v>
      </c>
      <c r="P277" s="784">
        <f t="shared" si="20"/>
        <v>0</v>
      </c>
    </row>
    <row r="278" spans="3:16" ht="12.75">
      <c r="C278" s="780">
        <f>IF(D264="","-",+C277+1)</f>
        <v>2022</v>
      </c>
      <c r="D278" s="728">
        <f t="shared" si="21"/>
        <v>17428910.501302082</v>
      </c>
      <c r="E278" s="781">
        <f t="shared" si="24"/>
        <v>306218.046875</v>
      </c>
      <c r="F278" s="781">
        <f t="shared" si="17"/>
        <v>17122692.454427082</v>
      </c>
      <c r="G278" s="728">
        <f t="shared" si="22"/>
        <v>17275801.477864582</v>
      </c>
      <c r="H278" s="786">
        <f>+J265*G278+E278</f>
        <v>2230280.131191656</v>
      </c>
      <c r="I278" s="787">
        <f>+J266*G278+E278</f>
        <v>2230280.131191656</v>
      </c>
      <c r="J278" s="784">
        <f t="shared" si="23"/>
        <v>0</v>
      </c>
      <c r="K278" s="784"/>
      <c r="L278" s="804"/>
      <c r="M278" s="784">
        <f t="shared" si="18"/>
        <v>0</v>
      </c>
      <c r="N278" s="804"/>
      <c r="O278" s="784">
        <f t="shared" si="19"/>
        <v>0</v>
      </c>
      <c r="P278" s="784">
        <f t="shared" si="20"/>
        <v>0</v>
      </c>
    </row>
    <row r="279" spans="3:16" ht="12.75">
      <c r="C279" s="780">
        <f>IF(D264="","-",+C278+1)</f>
        <v>2023</v>
      </c>
      <c r="D279" s="728">
        <f t="shared" si="21"/>
        <v>17122692.454427082</v>
      </c>
      <c r="E279" s="781">
        <f t="shared" si="24"/>
        <v>306218.046875</v>
      </c>
      <c r="F279" s="781">
        <f t="shared" si="17"/>
        <v>16816474.407552082</v>
      </c>
      <c r="G279" s="728">
        <f t="shared" si="22"/>
        <v>16969583.430989582</v>
      </c>
      <c r="H279" s="786">
        <f>+J265*G279+E279</f>
        <v>2196175.6333898837</v>
      </c>
      <c r="I279" s="787">
        <f>+J266*G279+E279</f>
        <v>2196175.6333898837</v>
      </c>
      <c r="J279" s="784">
        <f t="shared" si="23"/>
        <v>0</v>
      </c>
      <c r="K279" s="784"/>
      <c r="L279" s="804"/>
      <c r="M279" s="784">
        <f t="shared" si="18"/>
        <v>0</v>
      </c>
      <c r="N279" s="804"/>
      <c r="O279" s="784">
        <f t="shared" si="19"/>
        <v>0</v>
      </c>
      <c r="P279" s="784">
        <f t="shared" si="20"/>
        <v>0</v>
      </c>
    </row>
    <row r="280" spans="3:16" ht="12.75">
      <c r="C280" s="780">
        <f>IF(D264="","-",+C279+1)</f>
        <v>2024</v>
      </c>
      <c r="D280" s="728">
        <f t="shared" si="21"/>
        <v>16816474.407552082</v>
      </c>
      <c r="E280" s="781">
        <f t="shared" si="24"/>
        <v>306218.046875</v>
      </c>
      <c r="F280" s="781">
        <f t="shared" si="17"/>
        <v>16510256.360677082</v>
      </c>
      <c r="G280" s="728">
        <f t="shared" si="22"/>
        <v>16663365.384114582</v>
      </c>
      <c r="H280" s="786">
        <f>+J265*G280+E280</f>
        <v>2162071.1355881114</v>
      </c>
      <c r="I280" s="787">
        <f>+J266*G280+E280</f>
        <v>2162071.1355881114</v>
      </c>
      <c r="J280" s="784">
        <f t="shared" si="23"/>
        <v>0</v>
      </c>
      <c r="K280" s="784"/>
      <c r="L280" s="804"/>
      <c r="M280" s="784">
        <f t="shared" si="18"/>
        <v>0</v>
      </c>
      <c r="N280" s="804"/>
      <c r="O280" s="784">
        <f t="shared" si="19"/>
        <v>0</v>
      </c>
      <c r="P280" s="784">
        <f t="shared" si="20"/>
        <v>0</v>
      </c>
    </row>
    <row r="281" spans="3:16" ht="12.75">
      <c r="C281" s="780">
        <f>IF(D264="","-",+C280+1)</f>
        <v>2025</v>
      </c>
      <c r="D281" s="728">
        <f t="shared" si="21"/>
        <v>16510256.360677082</v>
      </c>
      <c r="E281" s="781">
        <f t="shared" si="24"/>
        <v>306218.046875</v>
      </c>
      <c r="F281" s="781">
        <f t="shared" si="17"/>
        <v>16204038.313802082</v>
      </c>
      <c r="G281" s="728">
        <f t="shared" si="22"/>
        <v>16357147.337239582</v>
      </c>
      <c r="H281" s="786">
        <f>+J265*G281+E281</f>
        <v>2127966.637786339</v>
      </c>
      <c r="I281" s="787">
        <f>+J266*G281+E281</f>
        <v>2127966.637786339</v>
      </c>
      <c r="J281" s="784">
        <f t="shared" si="23"/>
        <v>0</v>
      </c>
      <c r="K281" s="784"/>
      <c r="L281" s="804"/>
      <c r="M281" s="784">
        <f t="shared" si="18"/>
        <v>0</v>
      </c>
      <c r="N281" s="804"/>
      <c r="O281" s="784">
        <f t="shared" si="19"/>
        <v>0</v>
      </c>
      <c r="P281" s="784">
        <f t="shared" si="20"/>
        <v>0</v>
      </c>
    </row>
    <row r="282" spans="3:16" ht="12.75">
      <c r="C282" s="780">
        <f>IF(D264="","-",+C281+1)</f>
        <v>2026</v>
      </c>
      <c r="D282" s="728">
        <f t="shared" si="21"/>
        <v>16204038.313802082</v>
      </c>
      <c r="E282" s="781">
        <f t="shared" si="24"/>
        <v>306218.046875</v>
      </c>
      <c r="F282" s="781">
        <f t="shared" si="17"/>
        <v>15897820.266927082</v>
      </c>
      <c r="G282" s="728">
        <f t="shared" si="22"/>
        <v>16050929.290364582</v>
      </c>
      <c r="H282" s="786">
        <f>+J265*G282+E282</f>
        <v>2093862.1399845665</v>
      </c>
      <c r="I282" s="787">
        <f>+J266*G282+E282</f>
        <v>2093862.1399845665</v>
      </c>
      <c r="J282" s="784">
        <f t="shared" si="23"/>
        <v>0</v>
      </c>
      <c r="K282" s="784"/>
      <c r="L282" s="804"/>
      <c r="M282" s="784">
        <f t="shared" si="18"/>
        <v>0</v>
      </c>
      <c r="N282" s="804"/>
      <c r="O282" s="784">
        <f t="shared" si="19"/>
        <v>0</v>
      </c>
      <c r="P282" s="784">
        <f t="shared" si="20"/>
        <v>0</v>
      </c>
    </row>
    <row r="283" spans="3:16" ht="12.75">
      <c r="C283" s="780">
        <f>IF(D264="","-",+C282+1)</f>
        <v>2027</v>
      </c>
      <c r="D283" s="728">
        <f t="shared" si="21"/>
        <v>15897820.266927082</v>
      </c>
      <c r="E283" s="781">
        <f t="shared" si="24"/>
        <v>306218.046875</v>
      </c>
      <c r="F283" s="781">
        <f t="shared" si="17"/>
        <v>15591602.220052082</v>
      </c>
      <c r="G283" s="728">
        <f t="shared" si="22"/>
        <v>15744711.243489582</v>
      </c>
      <c r="H283" s="786">
        <f>+J265*G283+E283</f>
        <v>2059757.6421827942</v>
      </c>
      <c r="I283" s="787">
        <f>+J266*G283+E283</f>
        <v>2059757.6421827942</v>
      </c>
      <c r="J283" s="784">
        <f t="shared" si="23"/>
        <v>0</v>
      </c>
      <c r="K283" s="784"/>
      <c r="L283" s="804"/>
      <c r="M283" s="784">
        <f t="shared" si="18"/>
        <v>0</v>
      </c>
      <c r="N283" s="804"/>
      <c r="O283" s="784">
        <f t="shared" si="19"/>
        <v>0</v>
      </c>
      <c r="P283" s="784">
        <f t="shared" si="20"/>
        <v>0</v>
      </c>
    </row>
    <row r="284" spans="3:16" ht="12.75">
      <c r="C284" s="780">
        <f>IF(D264="","-",+C283+1)</f>
        <v>2028</v>
      </c>
      <c r="D284" s="728">
        <f t="shared" si="21"/>
        <v>15591602.220052082</v>
      </c>
      <c r="E284" s="781">
        <f t="shared" si="24"/>
        <v>306218.046875</v>
      </c>
      <c r="F284" s="781">
        <f t="shared" si="17"/>
        <v>15285384.173177082</v>
      </c>
      <c r="G284" s="728">
        <f t="shared" si="22"/>
        <v>15438493.196614582</v>
      </c>
      <c r="H284" s="786">
        <f>+J265*G284+E284</f>
        <v>2025653.1443810218</v>
      </c>
      <c r="I284" s="787">
        <f>+J266*G284+E284</f>
        <v>2025653.1443810218</v>
      </c>
      <c r="J284" s="784">
        <f t="shared" si="23"/>
        <v>0</v>
      </c>
      <c r="K284" s="784"/>
      <c r="L284" s="804"/>
      <c r="M284" s="784">
        <f t="shared" si="18"/>
        <v>0</v>
      </c>
      <c r="N284" s="804"/>
      <c r="O284" s="784">
        <f t="shared" si="19"/>
        <v>0</v>
      </c>
      <c r="P284" s="784">
        <f t="shared" si="20"/>
        <v>0</v>
      </c>
    </row>
    <row r="285" spans="3:16" ht="12.75">
      <c r="C285" s="780">
        <f>IF(D264="","-",+C284+1)</f>
        <v>2029</v>
      </c>
      <c r="D285" s="728">
        <f t="shared" si="21"/>
        <v>15285384.173177082</v>
      </c>
      <c r="E285" s="781">
        <f t="shared" si="24"/>
        <v>306218.046875</v>
      </c>
      <c r="F285" s="781">
        <f t="shared" si="17"/>
        <v>14979166.126302082</v>
      </c>
      <c r="G285" s="728">
        <f t="shared" si="22"/>
        <v>15132275.149739582</v>
      </c>
      <c r="H285" s="786">
        <f>+J265*G285+E285</f>
        <v>1991548.6465792495</v>
      </c>
      <c r="I285" s="787">
        <f>+J266*G285+E285</f>
        <v>1991548.6465792495</v>
      </c>
      <c r="J285" s="784">
        <f t="shared" si="23"/>
        <v>0</v>
      </c>
      <c r="K285" s="784"/>
      <c r="L285" s="804"/>
      <c r="M285" s="784">
        <f t="shared" si="18"/>
        <v>0</v>
      </c>
      <c r="N285" s="804"/>
      <c r="O285" s="784">
        <f t="shared" si="19"/>
        <v>0</v>
      </c>
      <c r="P285" s="784">
        <f t="shared" si="20"/>
        <v>0</v>
      </c>
    </row>
    <row r="286" spans="3:16" ht="12.75">
      <c r="C286" s="780">
        <f>IF(D264="","-",+C285+1)</f>
        <v>2030</v>
      </c>
      <c r="D286" s="728">
        <f t="shared" si="21"/>
        <v>14979166.126302082</v>
      </c>
      <c r="E286" s="781">
        <f t="shared" si="24"/>
        <v>306218.046875</v>
      </c>
      <c r="F286" s="781">
        <f t="shared" si="17"/>
        <v>14672948.079427082</v>
      </c>
      <c r="G286" s="728">
        <f t="shared" si="22"/>
        <v>14826057.102864582</v>
      </c>
      <c r="H286" s="786">
        <f>+J265*G286+E286</f>
        <v>1957444.1487774772</v>
      </c>
      <c r="I286" s="787">
        <f>+J266*G286+E286</f>
        <v>1957444.1487774772</v>
      </c>
      <c r="J286" s="784">
        <f t="shared" si="23"/>
        <v>0</v>
      </c>
      <c r="K286" s="784"/>
      <c r="L286" s="804"/>
      <c r="M286" s="784">
        <f t="shared" si="18"/>
        <v>0</v>
      </c>
      <c r="N286" s="804"/>
      <c r="O286" s="784">
        <f t="shared" si="19"/>
        <v>0</v>
      </c>
      <c r="P286" s="784">
        <f t="shared" si="20"/>
        <v>0</v>
      </c>
    </row>
    <row r="287" spans="3:16" ht="12.75">
      <c r="C287" s="780">
        <f>IF(D264="","-",+C286+1)</f>
        <v>2031</v>
      </c>
      <c r="D287" s="728">
        <f t="shared" si="21"/>
        <v>14672948.079427082</v>
      </c>
      <c r="E287" s="781">
        <f t="shared" si="24"/>
        <v>306218.046875</v>
      </c>
      <c r="F287" s="781">
        <f t="shared" si="17"/>
        <v>14366730.032552082</v>
      </c>
      <c r="G287" s="728">
        <f t="shared" si="22"/>
        <v>14519839.055989582</v>
      </c>
      <c r="H287" s="786">
        <f>+J265*G287+E287</f>
        <v>1923339.650975705</v>
      </c>
      <c r="I287" s="787">
        <f>+J266*G287+E287</f>
        <v>1923339.650975705</v>
      </c>
      <c r="J287" s="784">
        <f t="shared" si="23"/>
        <v>0</v>
      </c>
      <c r="K287" s="784"/>
      <c r="L287" s="804"/>
      <c r="M287" s="784">
        <f t="shared" si="18"/>
        <v>0</v>
      </c>
      <c r="N287" s="804"/>
      <c r="O287" s="784">
        <f t="shared" si="19"/>
        <v>0</v>
      </c>
      <c r="P287" s="784">
        <f t="shared" si="20"/>
        <v>0</v>
      </c>
    </row>
    <row r="288" spans="3:16" ht="12.75">
      <c r="C288" s="780">
        <f>IF(D264="","-",+C287+1)</f>
        <v>2032</v>
      </c>
      <c r="D288" s="728">
        <f t="shared" si="21"/>
        <v>14366730.032552082</v>
      </c>
      <c r="E288" s="781">
        <f t="shared" si="24"/>
        <v>306218.046875</v>
      </c>
      <c r="F288" s="781">
        <f t="shared" si="17"/>
        <v>14060511.985677082</v>
      </c>
      <c r="G288" s="728">
        <f t="shared" si="22"/>
        <v>14213621.009114582</v>
      </c>
      <c r="H288" s="786">
        <f>+J265*G288+E288</f>
        <v>1889235.1531739326</v>
      </c>
      <c r="I288" s="787">
        <f>+J266*G288+E288</f>
        <v>1889235.1531739326</v>
      </c>
      <c r="J288" s="784">
        <f t="shared" si="23"/>
        <v>0</v>
      </c>
      <c r="K288" s="784"/>
      <c r="L288" s="804"/>
      <c r="M288" s="784">
        <f t="shared" si="18"/>
        <v>0</v>
      </c>
      <c r="N288" s="804"/>
      <c r="O288" s="784">
        <f t="shared" si="19"/>
        <v>0</v>
      </c>
      <c r="P288" s="784">
        <f t="shared" si="20"/>
        <v>0</v>
      </c>
    </row>
    <row r="289" spans="3:16" ht="12.75">
      <c r="C289" s="780">
        <f>IF(D264="","-",+C288+1)</f>
        <v>2033</v>
      </c>
      <c r="D289" s="728">
        <f t="shared" si="21"/>
        <v>14060511.985677082</v>
      </c>
      <c r="E289" s="781">
        <f t="shared" si="24"/>
        <v>306218.046875</v>
      </c>
      <c r="F289" s="781">
        <f t="shared" si="17"/>
        <v>13754293.938802082</v>
      </c>
      <c r="G289" s="728">
        <f t="shared" si="22"/>
        <v>13907402.962239582</v>
      </c>
      <c r="H289" s="786">
        <f>+J265*G289+E289</f>
        <v>1855130.6553721603</v>
      </c>
      <c r="I289" s="787">
        <f>+J266*G289+E289</f>
        <v>1855130.6553721603</v>
      </c>
      <c r="J289" s="784">
        <f t="shared" si="23"/>
        <v>0</v>
      </c>
      <c r="K289" s="784"/>
      <c r="L289" s="804"/>
      <c r="M289" s="784">
        <f t="shared" si="18"/>
        <v>0</v>
      </c>
      <c r="N289" s="804"/>
      <c r="O289" s="784">
        <f t="shared" si="19"/>
        <v>0</v>
      </c>
      <c r="P289" s="784">
        <f t="shared" si="20"/>
        <v>0</v>
      </c>
    </row>
    <row r="290" spans="3:16" ht="12.75">
      <c r="C290" s="780">
        <f>IF(D264="","-",+C289+1)</f>
        <v>2034</v>
      </c>
      <c r="D290" s="728">
        <f t="shared" si="21"/>
        <v>13754293.938802082</v>
      </c>
      <c r="E290" s="781">
        <f t="shared" si="24"/>
        <v>306218.046875</v>
      </c>
      <c r="F290" s="781">
        <f t="shared" si="17"/>
        <v>13448075.891927082</v>
      </c>
      <c r="G290" s="728">
        <f t="shared" si="22"/>
        <v>13601184.915364582</v>
      </c>
      <c r="H290" s="786">
        <f>+J265*G290+E290</f>
        <v>1821026.157570388</v>
      </c>
      <c r="I290" s="787">
        <f>+J266*G290+E290</f>
        <v>1821026.157570388</v>
      </c>
      <c r="J290" s="784">
        <f t="shared" si="23"/>
        <v>0</v>
      </c>
      <c r="K290" s="784"/>
      <c r="L290" s="804"/>
      <c r="M290" s="784">
        <f t="shared" si="18"/>
        <v>0</v>
      </c>
      <c r="N290" s="804"/>
      <c r="O290" s="784">
        <f t="shared" si="19"/>
        <v>0</v>
      </c>
      <c r="P290" s="784">
        <f t="shared" si="20"/>
        <v>0</v>
      </c>
    </row>
    <row r="291" spans="3:16" ht="12.75">
      <c r="C291" s="780">
        <f>IF(D264="","-",+C290+1)</f>
        <v>2035</v>
      </c>
      <c r="D291" s="728">
        <f t="shared" si="21"/>
        <v>13448075.891927082</v>
      </c>
      <c r="E291" s="781">
        <f t="shared" si="24"/>
        <v>306218.046875</v>
      </c>
      <c r="F291" s="781">
        <f t="shared" si="17"/>
        <v>13141857.845052082</v>
      </c>
      <c r="G291" s="728">
        <f t="shared" si="22"/>
        <v>13294966.868489582</v>
      </c>
      <c r="H291" s="786">
        <f>+J265*G291+E291</f>
        <v>1786921.6597686154</v>
      </c>
      <c r="I291" s="787">
        <f>+J266*G291+E291</f>
        <v>1786921.6597686154</v>
      </c>
      <c r="J291" s="784">
        <f t="shared" si="23"/>
        <v>0</v>
      </c>
      <c r="K291" s="784"/>
      <c r="L291" s="804"/>
      <c r="M291" s="784">
        <f t="shared" si="18"/>
        <v>0</v>
      </c>
      <c r="N291" s="804"/>
      <c r="O291" s="784">
        <f t="shared" si="19"/>
        <v>0</v>
      </c>
      <c r="P291" s="784">
        <f t="shared" si="20"/>
        <v>0</v>
      </c>
    </row>
    <row r="292" spans="3:16" ht="12.75">
      <c r="C292" s="780">
        <f>IF(D264="","-",+C291+1)</f>
        <v>2036</v>
      </c>
      <c r="D292" s="728">
        <f t="shared" si="21"/>
        <v>13141857.845052082</v>
      </c>
      <c r="E292" s="781">
        <f t="shared" si="24"/>
        <v>306218.046875</v>
      </c>
      <c r="F292" s="781">
        <f t="shared" si="17"/>
        <v>12835639.798177082</v>
      </c>
      <c r="G292" s="728">
        <f t="shared" si="22"/>
        <v>12988748.821614582</v>
      </c>
      <c r="H292" s="786">
        <f>+J265*G292+E292</f>
        <v>1752817.161966843</v>
      </c>
      <c r="I292" s="787">
        <f>+J266*G292+E292</f>
        <v>1752817.161966843</v>
      </c>
      <c r="J292" s="784">
        <f t="shared" si="23"/>
        <v>0</v>
      </c>
      <c r="K292" s="784"/>
      <c r="L292" s="804"/>
      <c r="M292" s="784">
        <f t="shared" si="18"/>
        <v>0</v>
      </c>
      <c r="N292" s="804"/>
      <c r="O292" s="784">
        <f t="shared" si="19"/>
        <v>0</v>
      </c>
      <c r="P292" s="784">
        <f t="shared" si="20"/>
        <v>0</v>
      </c>
    </row>
    <row r="293" spans="3:16" ht="12.75">
      <c r="C293" s="780">
        <f>IF(D264="","-",+C292+1)</f>
        <v>2037</v>
      </c>
      <c r="D293" s="728">
        <f t="shared" si="21"/>
        <v>12835639.798177082</v>
      </c>
      <c r="E293" s="781">
        <f t="shared" si="24"/>
        <v>306218.046875</v>
      </c>
      <c r="F293" s="781">
        <f t="shared" si="17"/>
        <v>12529421.751302082</v>
      </c>
      <c r="G293" s="728">
        <f t="shared" si="22"/>
        <v>12682530.774739582</v>
      </c>
      <c r="H293" s="786">
        <f>+J265*G293+E293</f>
        <v>1718712.6641650707</v>
      </c>
      <c r="I293" s="787">
        <f>+J266*G293+E293</f>
        <v>1718712.6641650707</v>
      </c>
      <c r="J293" s="784">
        <f t="shared" si="23"/>
        <v>0</v>
      </c>
      <c r="K293" s="784"/>
      <c r="L293" s="804"/>
      <c r="M293" s="784">
        <f t="shared" si="18"/>
        <v>0</v>
      </c>
      <c r="N293" s="804"/>
      <c r="O293" s="784">
        <f t="shared" si="19"/>
        <v>0</v>
      </c>
      <c r="P293" s="784">
        <f t="shared" si="20"/>
        <v>0</v>
      </c>
    </row>
    <row r="294" spans="3:16" ht="12.75">
      <c r="C294" s="780">
        <f>IF(D264="","-",+C293+1)</f>
        <v>2038</v>
      </c>
      <c r="D294" s="728">
        <f t="shared" si="21"/>
        <v>12529421.751302082</v>
      </c>
      <c r="E294" s="781">
        <f t="shared" si="24"/>
        <v>306218.046875</v>
      </c>
      <c r="F294" s="781">
        <f t="shared" si="17"/>
        <v>12223203.704427082</v>
      </c>
      <c r="G294" s="728">
        <f t="shared" si="22"/>
        <v>12376312.727864582</v>
      </c>
      <c r="H294" s="786">
        <f>+J265*G294+E294</f>
        <v>1684608.1663632984</v>
      </c>
      <c r="I294" s="787">
        <f>+J266*G294+E294</f>
        <v>1684608.1663632984</v>
      </c>
      <c r="J294" s="784">
        <f t="shared" si="23"/>
        <v>0</v>
      </c>
      <c r="K294" s="784"/>
      <c r="L294" s="804"/>
      <c r="M294" s="784">
        <f t="shared" si="18"/>
        <v>0</v>
      </c>
      <c r="N294" s="804"/>
      <c r="O294" s="784">
        <f t="shared" si="19"/>
        <v>0</v>
      </c>
      <c r="P294" s="784">
        <f t="shared" si="20"/>
        <v>0</v>
      </c>
    </row>
    <row r="295" spans="3:16" ht="12.75">
      <c r="C295" s="780">
        <f>IF(D264="","-",+C294+1)</f>
        <v>2039</v>
      </c>
      <c r="D295" s="728">
        <f t="shared" si="21"/>
        <v>12223203.704427082</v>
      </c>
      <c r="E295" s="781">
        <f t="shared" si="24"/>
        <v>306218.046875</v>
      </c>
      <c r="F295" s="781">
        <f t="shared" si="17"/>
        <v>11916985.657552082</v>
      </c>
      <c r="G295" s="728">
        <f t="shared" si="22"/>
        <v>12070094.680989582</v>
      </c>
      <c r="H295" s="786">
        <f>+J265*G295+E295</f>
        <v>1650503.668561526</v>
      </c>
      <c r="I295" s="787">
        <f>+J266*G295+E295</f>
        <v>1650503.668561526</v>
      </c>
      <c r="J295" s="784">
        <f t="shared" si="23"/>
        <v>0</v>
      </c>
      <c r="K295" s="784"/>
      <c r="L295" s="804"/>
      <c r="M295" s="784">
        <f t="shared" si="18"/>
        <v>0</v>
      </c>
      <c r="N295" s="804"/>
      <c r="O295" s="784">
        <f t="shared" si="19"/>
        <v>0</v>
      </c>
      <c r="P295" s="784">
        <f t="shared" si="20"/>
        <v>0</v>
      </c>
    </row>
    <row r="296" spans="3:16" ht="12.75">
      <c r="C296" s="780">
        <f>IF(D264="","-",+C295+1)</f>
        <v>2040</v>
      </c>
      <c r="D296" s="728">
        <f t="shared" si="21"/>
        <v>11916985.657552082</v>
      </c>
      <c r="E296" s="781">
        <f t="shared" si="24"/>
        <v>306218.046875</v>
      </c>
      <c r="F296" s="781">
        <f t="shared" si="17"/>
        <v>11610767.610677082</v>
      </c>
      <c r="G296" s="728">
        <f t="shared" si="22"/>
        <v>11763876.634114582</v>
      </c>
      <c r="H296" s="786">
        <f>+J265*G296+E296</f>
        <v>1616399.1707597538</v>
      </c>
      <c r="I296" s="787">
        <f>+J266*G296+E296</f>
        <v>1616399.1707597538</v>
      </c>
      <c r="J296" s="784">
        <f t="shared" si="23"/>
        <v>0</v>
      </c>
      <c r="K296" s="784"/>
      <c r="L296" s="804"/>
      <c r="M296" s="784">
        <f t="shared" si="18"/>
        <v>0</v>
      </c>
      <c r="N296" s="804"/>
      <c r="O296" s="784">
        <f t="shared" si="19"/>
        <v>0</v>
      </c>
      <c r="P296" s="784">
        <f t="shared" si="20"/>
        <v>0</v>
      </c>
    </row>
    <row r="297" spans="3:16" ht="12.75">
      <c r="C297" s="780">
        <f>IF(D264="","-",+C296+1)</f>
        <v>2041</v>
      </c>
      <c r="D297" s="728">
        <f t="shared" si="21"/>
        <v>11610767.610677082</v>
      </c>
      <c r="E297" s="781">
        <f t="shared" si="24"/>
        <v>306218.046875</v>
      </c>
      <c r="F297" s="781">
        <f t="shared" si="17"/>
        <v>11304549.563802082</v>
      </c>
      <c r="G297" s="728">
        <f t="shared" si="22"/>
        <v>11457658.587239582</v>
      </c>
      <c r="H297" s="786">
        <f>+J265*G297+E297</f>
        <v>1582294.6729579815</v>
      </c>
      <c r="I297" s="787">
        <f>+J266*G297+E297</f>
        <v>1582294.6729579815</v>
      </c>
      <c r="J297" s="784">
        <f t="shared" si="23"/>
        <v>0</v>
      </c>
      <c r="K297" s="784"/>
      <c r="L297" s="804"/>
      <c r="M297" s="784">
        <f t="shared" si="18"/>
        <v>0</v>
      </c>
      <c r="N297" s="804"/>
      <c r="O297" s="784">
        <f t="shared" si="19"/>
        <v>0</v>
      </c>
      <c r="P297" s="784">
        <f t="shared" si="20"/>
        <v>0</v>
      </c>
    </row>
    <row r="298" spans="3:16" ht="12.75">
      <c r="C298" s="780">
        <f>IF(D264="","-",+C297+1)</f>
        <v>2042</v>
      </c>
      <c r="D298" s="728">
        <f t="shared" si="21"/>
        <v>11304549.563802082</v>
      </c>
      <c r="E298" s="781">
        <f t="shared" si="24"/>
        <v>306218.046875</v>
      </c>
      <c r="F298" s="781">
        <f t="shared" si="17"/>
        <v>10998331.516927082</v>
      </c>
      <c r="G298" s="728">
        <f t="shared" si="22"/>
        <v>11151440.540364582</v>
      </c>
      <c r="H298" s="786">
        <f>+J265*G298+E298</f>
        <v>1548190.1751562092</v>
      </c>
      <c r="I298" s="787">
        <f>+J266*G298+E298</f>
        <v>1548190.1751562092</v>
      </c>
      <c r="J298" s="784">
        <f t="shared" si="23"/>
        <v>0</v>
      </c>
      <c r="K298" s="784"/>
      <c r="L298" s="804"/>
      <c r="M298" s="784">
        <f t="shared" si="18"/>
        <v>0</v>
      </c>
      <c r="N298" s="804"/>
      <c r="O298" s="784">
        <f t="shared" si="19"/>
        <v>0</v>
      </c>
      <c r="P298" s="784">
        <f t="shared" si="20"/>
        <v>0</v>
      </c>
    </row>
    <row r="299" spans="3:16" ht="12.75">
      <c r="C299" s="780">
        <f>IF(D264="","-",+C298+1)</f>
        <v>2043</v>
      </c>
      <c r="D299" s="728">
        <f t="shared" si="21"/>
        <v>10998331.516927082</v>
      </c>
      <c r="E299" s="781">
        <f t="shared" si="24"/>
        <v>306218.046875</v>
      </c>
      <c r="F299" s="781">
        <f t="shared" si="17"/>
        <v>10692113.470052082</v>
      </c>
      <c r="G299" s="728">
        <f t="shared" si="22"/>
        <v>10845222.493489582</v>
      </c>
      <c r="H299" s="786">
        <f>+J265*G299+E299</f>
        <v>1514085.6773544368</v>
      </c>
      <c r="I299" s="787">
        <f>+J266*G299+E299</f>
        <v>1514085.6773544368</v>
      </c>
      <c r="J299" s="784">
        <f t="shared" si="23"/>
        <v>0</v>
      </c>
      <c r="K299" s="784"/>
      <c r="L299" s="804"/>
      <c r="M299" s="784">
        <f t="shared" si="18"/>
        <v>0</v>
      </c>
      <c r="N299" s="804"/>
      <c r="O299" s="784">
        <f t="shared" si="19"/>
        <v>0</v>
      </c>
      <c r="P299" s="784">
        <f t="shared" si="20"/>
        <v>0</v>
      </c>
    </row>
    <row r="300" spans="3:16" ht="12.75">
      <c r="C300" s="780">
        <f>IF(D264="","-",+C299+1)</f>
        <v>2044</v>
      </c>
      <c r="D300" s="728">
        <f t="shared" si="21"/>
        <v>10692113.470052082</v>
      </c>
      <c r="E300" s="781">
        <f t="shared" si="24"/>
        <v>306218.046875</v>
      </c>
      <c r="F300" s="781">
        <f t="shared" si="17"/>
        <v>10385895.423177082</v>
      </c>
      <c r="G300" s="728">
        <f t="shared" si="22"/>
        <v>10539004.446614582</v>
      </c>
      <c r="H300" s="786">
        <f>+J265*G300+E300</f>
        <v>1479981.1795526645</v>
      </c>
      <c r="I300" s="787">
        <f>+J266*G300+E300</f>
        <v>1479981.1795526645</v>
      </c>
      <c r="J300" s="784">
        <f t="shared" si="23"/>
        <v>0</v>
      </c>
      <c r="K300" s="784"/>
      <c r="L300" s="804"/>
      <c r="M300" s="784">
        <f t="shared" si="18"/>
        <v>0</v>
      </c>
      <c r="N300" s="804"/>
      <c r="O300" s="784">
        <f t="shared" si="19"/>
        <v>0</v>
      </c>
      <c r="P300" s="784">
        <f t="shared" si="20"/>
        <v>0</v>
      </c>
    </row>
    <row r="301" spans="3:16" ht="12.75">
      <c r="C301" s="780">
        <f>IF(D264="","-",+C300+1)</f>
        <v>2045</v>
      </c>
      <c r="D301" s="728">
        <f t="shared" si="21"/>
        <v>10385895.423177082</v>
      </c>
      <c r="E301" s="781">
        <f t="shared" si="24"/>
        <v>306218.046875</v>
      </c>
      <c r="F301" s="781">
        <f t="shared" si="17"/>
        <v>10079677.376302082</v>
      </c>
      <c r="G301" s="728">
        <f t="shared" si="22"/>
        <v>10232786.399739582</v>
      </c>
      <c r="H301" s="786">
        <f>+J265*G301+E301</f>
        <v>1445876.6817508922</v>
      </c>
      <c r="I301" s="787">
        <f>+J266*G301+E301</f>
        <v>1445876.6817508922</v>
      </c>
      <c r="J301" s="784">
        <f t="shared" si="23"/>
        <v>0</v>
      </c>
      <c r="K301" s="784"/>
      <c r="L301" s="804"/>
      <c r="M301" s="784">
        <f t="shared" si="18"/>
        <v>0</v>
      </c>
      <c r="N301" s="804"/>
      <c r="O301" s="784">
        <f t="shared" si="19"/>
        <v>0</v>
      </c>
      <c r="P301" s="784">
        <f t="shared" si="20"/>
        <v>0</v>
      </c>
    </row>
    <row r="302" spans="3:16" ht="12.75">
      <c r="C302" s="780">
        <f>IF(D264="","-",+C301+1)</f>
        <v>2046</v>
      </c>
      <c r="D302" s="728">
        <f t="shared" si="21"/>
        <v>10079677.376302082</v>
      </c>
      <c r="E302" s="781">
        <f t="shared" si="24"/>
        <v>306218.046875</v>
      </c>
      <c r="F302" s="781">
        <f t="shared" si="17"/>
        <v>9773459.329427082</v>
      </c>
      <c r="G302" s="728">
        <f t="shared" si="22"/>
        <v>9926568.352864582</v>
      </c>
      <c r="H302" s="786">
        <f>+J265*G302+E302</f>
        <v>1411772.1839491199</v>
      </c>
      <c r="I302" s="787">
        <f>+J266*G302+E302</f>
        <v>1411772.1839491199</v>
      </c>
      <c r="J302" s="784">
        <f t="shared" si="23"/>
        <v>0</v>
      </c>
      <c r="K302" s="784"/>
      <c r="L302" s="804"/>
      <c r="M302" s="784">
        <f t="shared" si="18"/>
        <v>0</v>
      </c>
      <c r="N302" s="804"/>
      <c r="O302" s="784">
        <f t="shared" si="19"/>
        <v>0</v>
      </c>
      <c r="P302" s="784">
        <f t="shared" si="20"/>
        <v>0</v>
      </c>
    </row>
    <row r="303" spans="3:16" ht="12.75">
      <c r="C303" s="780">
        <f>IF(D264="","-",+C302+1)</f>
        <v>2047</v>
      </c>
      <c r="D303" s="728">
        <f t="shared" si="21"/>
        <v>9773459.329427082</v>
      </c>
      <c r="E303" s="781">
        <f t="shared" si="24"/>
        <v>306218.046875</v>
      </c>
      <c r="F303" s="781">
        <f t="shared" si="17"/>
        <v>9467241.282552082</v>
      </c>
      <c r="G303" s="728">
        <f t="shared" si="22"/>
        <v>9620350.305989582</v>
      </c>
      <c r="H303" s="786">
        <f>+J265*G303+E303</f>
        <v>1377667.6861473476</v>
      </c>
      <c r="I303" s="787">
        <f>+J266*G303+E303</f>
        <v>1377667.6861473476</v>
      </c>
      <c r="J303" s="784">
        <f t="shared" si="23"/>
        <v>0</v>
      </c>
      <c r="K303" s="784"/>
      <c r="L303" s="804"/>
      <c r="M303" s="784">
        <f t="shared" si="18"/>
        <v>0</v>
      </c>
      <c r="N303" s="804"/>
      <c r="O303" s="784">
        <f t="shared" si="19"/>
        <v>0</v>
      </c>
      <c r="P303" s="784">
        <f t="shared" si="20"/>
        <v>0</v>
      </c>
    </row>
    <row r="304" spans="3:16" ht="12.75">
      <c r="C304" s="780">
        <f>IF(D264="","-",+C303+1)</f>
        <v>2048</v>
      </c>
      <c r="D304" s="728">
        <f t="shared" si="21"/>
        <v>9467241.282552082</v>
      </c>
      <c r="E304" s="781">
        <f t="shared" si="24"/>
        <v>306218.046875</v>
      </c>
      <c r="F304" s="781">
        <f t="shared" si="17"/>
        <v>9161023.235677082</v>
      </c>
      <c r="G304" s="728">
        <f t="shared" si="22"/>
        <v>9314132.259114582</v>
      </c>
      <c r="H304" s="786">
        <f>+J265*G304+E304</f>
        <v>1343563.1883455752</v>
      </c>
      <c r="I304" s="787">
        <f>+J266*G304+E304</f>
        <v>1343563.1883455752</v>
      </c>
      <c r="J304" s="784">
        <f t="shared" si="23"/>
        <v>0</v>
      </c>
      <c r="K304" s="784"/>
      <c r="L304" s="804"/>
      <c r="M304" s="784">
        <f t="shared" si="18"/>
        <v>0</v>
      </c>
      <c r="N304" s="804"/>
      <c r="O304" s="784">
        <f t="shared" si="19"/>
        <v>0</v>
      </c>
      <c r="P304" s="784">
        <f t="shared" si="20"/>
        <v>0</v>
      </c>
    </row>
    <row r="305" spans="3:16" ht="12.75">
      <c r="C305" s="780">
        <f>IF(D264="","-",+C304+1)</f>
        <v>2049</v>
      </c>
      <c r="D305" s="728">
        <f t="shared" si="21"/>
        <v>9161023.235677082</v>
      </c>
      <c r="E305" s="781">
        <f t="shared" si="24"/>
        <v>306218.046875</v>
      </c>
      <c r="F305" s="781">
        <f t="shared" si="17"/>
        <v>8854805.188802082</v>
      </c>
      <c r="G305" s="728">
        <f t="shared" si="22"/>
        <v>9007914.212239582</v>
      </c>
      <c r="H305" s="786">
        <f>+J265*G305+E305</f>
        <v>1309458.690543803</v>
      </c>
      <c r="I305" s="787">
        <f>+J266*G305+E305</f>
        <v>1309458.690543803</v>
      </c>
      <c r="J305" s="784">
        <f t="shared" si="23"/>
        <v>0</v>
      </c>
      <c r="K305" s="784"/>
      <c r="L305" s="804"/>
      <c r="M305" s="784">
        <f t="shared" si="18"/>
        <v>0</v>
      </c>
      <c r="N305" s="804"/>
      <c r="O305" s="784">
        <f t="shared" si="19"/>
        <v>0</v>
      </c>
      <c r="P305" s="784">
        <f t="shared" si="20"/>
        <v>0</v>
      </c>
    </row>
    <row r="306" spans="3:16" ht="12.75">
      <c r="C306" s="780">
        <f>IF(D264="","-",+C305+1)</f>
        <v>2050</v>
      </c>
      <c r="D306" s="728">
        <f t="shared" si="21"/>
        <v>8854805.188802082</v>
      </c>
      <c r="E306" s="781">
        <f t="shared" si="24"/>
        <v>306218.046875</v>
      </c>
      <c r="F306" s="781">
        <f t="shared" si="17"/>
        <v>8548587.141927082</v>
      </c>
      <c r="G306" s="728">
        <f t="shared" si="22"/>
        <v>8701696.165364582</v>
      </c>
      <c r="H306" s="786">
        <f>+J265*G306+E306</f>
        <v>1275354.1927420306</v>
      </c>
      <c r="I306" s="787">
        <f>+J266*G306+E306</f>
        <v>1275354.1927420306</v>
      </c>
      <c r="J306" s="784">
        <f t="shared" si="23"/>
        <v>0</v>
      </c>
      <c r="K306" s="784"/>
      <c r="L306" s="804"/>
      <c r="M306" s="784">
        <f t="shared" si="18"/>
        <v>0</v>
      </c>
      <c r="N306" s="804"/>
      <c r="O306" s="784">
        <f t="shared" si="19"/>
        <v>0</v>
      </c>
      <c r="P306" s="784">
        <f t="shared" si="20"/>
        <v>0</v>
      </c>
    </row>
    <row r="307" spans="3:16" ht="12.75">
      <c r="C307" s="780">
        <f>IF(D264="","-",+C306+1)</f>
        <v>2051</v>
      </c>
      <c r="D307" s="728">
        <f t="shared" si="21"/>
        <v>8548587.141927082</v>
      </c>
      <c r="E307" s="781">
        <f t="shared" si="24"/>
        <v>306218.046875</v>
      </c>
      <c r="F307" s="781">
        <f t="shared" si="17"/>
        <v>8242369.095052082</v>
      </c>
      <c r="G307" s="728">
        <f t="shared" si="22"/>
        <v>8395478.118489582</v>
      </c>
      <c r="H307" s="786">
        <f>+J265*G307+E307</f>
        <v>1241249.694940258</v>
      </c>
      <c r="I307" s="787">
        <f>+J266*G307+E307</f>
        <v>1241249.694940258</v>
      </c>
      <c r="J307" s="784">
        <f t="shared" si="23"/>
        <v>0</v>
      </c>
      <c r="K307" s="784"/>
      <c r="L307" s="804"/>
      <c r="M307" s="784">
        <f t="shared" si="18"/>
        <v>0</v>
      </c>
      <c r="N307" s="804"/>
      <c r="O307" s="784">
        <f t="shared" si="19"/>
        <v>0</v>
      </c>
      <c r="P307" s="784">
        <f t="shared" si="20"/>
        <v>0</v>
      </c>
    </row>
    <row r="308" spans="3:16" ht="12.75">
      <c r="C308" s="780">
        <f>IF(D264="","-",+C307+1)</f>
        <v>2052</v>
      </c>
      <c r="D308" s="728">
        <f t="shared" si="21"/>
        <v>8242369.095052082</v>
      </c>
      <c r="E308" s="781">
        <f t="shared" si="24"/>
        <v>306218.046875</v>
      </c>
      <c r="F308" s="781">
        <f t="shared" si="17"/>
        <v>7936151.048177082</v>
      </c>
      <c r="G308" s="728">
        <f t="shared" si="22"/>
        <v>8089260.071614582</v>
      </c>
      <c r="H308" s="786">
        <f>+J265*G308+E308</f>
        <v>1207145.1971384857</v>
      </c>
      <c r="I308" s="787">
        <f>+J266*G308+E308</f>
        <v>1207145.1971384857</v>
      </c>
      <c r="J308" s="784">
        <f t="shared" si="23"/>
        <v>0</v>
      </c>
      <c r="K308" s="784"/>
      <c r="L308" s="804"/>
      <c r="M308" s="784">
        <f t="shared" si="18"/>
        <v>0</v>
      </c>
      <c r="N308" s="804"/>
      <c r="O308" s="784">
        <f t="shared" si="19"/>
        <v>0</v>
      </c>
      <c r="P308" s="784">
        <f t="shared" si="20"/>
        <v>0</v>
      </c>
    </row>
    <row r="309" spans="3:16" ht="12.75">
      <c r="C309" s="780">
        <f>IF(D264="","-",+C308+1)</f>
        <v>2053</v>
      </c>
      <c r="D309" s="728">
        <f t="shared" si="21"/>
        <v>7936151.048177082</v>
      </c>
      <c r="E309" s="781">
        <f t="shared" si="24"/>
        <v>306218.046875</v>
      </c>
      <c r="F309" s="781">
        <f t="shared" si="17"/>
        <v>7629933.001302082</v>
      </c>
      <c r="G309" s="728">
        <f t="shared" si="22"/>
        <v>7783042.024739582</v>
      </c>
      <c r="H309" s="786">
        <f>+J265*G309+E309</f>
        <v>1173040.6993367134</v>
      </c>
      <c r="I309" s="787">
        <f>+J266*G309+E309</f>
        <v>1173040.6993367134</v>
      </c>
      <c r="J309" s="784">
        <f t="shared" si="23"/>
        <v>0</v>
      </c>
      <c r="K309" s="784"/>
      <c r="L309" s="804"/>
      <c r="M309" s="784">
        <f t="shared" si="18"/>
        <v>0</v>
      </c>
      <c r="N309" s="804"/>
      <c r="O309" s="784">
        <f t="shared" si="19"/>
        <v>0</v>
      </c>
      <c r="P309" s="784">
        <f t="shared" si="20"/>
        <v>0</v>
      </c>
    </row>
    <row r="310" spans="3:16" ht="12.75">
      <c r="C310" s="780">
        <f>IF(D264="","-",+C309+1)</f>
        <v>2054</v>
      </c>
      <c r="D310" s="728">
        <f t="shared" si="21"/>
        <v>7629933.001302082</v>
      </c>
      <c r="E310" s="781">
        <f t="shared" si="24"/>
        <v>306218.046875</v>
      </c>
      <c r="F310" s="781">
        <f t="shared" si="17"/>
        <v>7323714.954427082</v>
      </c>
      <c r="G310" s="728">
        <f t="shared" si="22"/>
        <v>7476823.977864582</v>
      </c>
      <c r="H310" s="786">
        <f>+J265*G310+E310</f>
        <v>1138936.201534941</v>
      </c>
      <c r="I310" s="787">
        <f>+J266*G310+E310</f>
        <v>1138936.201534941</v>
      </c>
      <c r="J310" s="784">
        <f t="shared" si="23"/>
        <v>0</v>
      </c>
      <c r="K310" s="784"/>
      <c r="L310" s="804"/>
      <c r="M310" s="784">
        <f t="shared" si="18"/>
        <v>0</v>
      </c>
      <c r="N310" s="804"/>
      <c r="O310" s="784">
        <f t="shared" si="19"/>
        <v>0</v>
      </c>
      <c r="P310" s="784">
        <f t="shared" si="20"/>
        <v>0</v>
      </c>
    </row>
    <row r="311" spans="3:16" ht="12.75">
      <c r="C311" s="780">
        <f>IF(D264="","-",+C310+1)</f>
        <v>2055</v>
      </c>
      <c r="D311" s="728">
        <f t="shared" si="21"/>
        <v>7323714.954427082</v>
      </c>
      <c r="E311" s="781">
        <f t="shared" si="24"/>
        <v>306218.046875</v>
      </c>
      <c r="F311" s="781">
        <f t="shared" si="17"/>
        <v>7017496.907552082</v>
      </c>
      <c r="G311" s="728">
        <f t="shared" si="22"/>
        <v>7170605.930989582</v>
      </c>
      <c r="H311" s="786">
        <f>+J265*G311+E311</f>
        <v>1104831.7037331688</v>
      </c>
      <c r="I311" s="787">
        <f>+J266*G311+E311</f>
        <v>1104831.7037331688</v>
      </c>
      <c r="J311" s="784">
        <f t="shared" si="23"/>
        <v>0</v>
      </c>
      <c r="K311" s="784"/>
      <c r="L311" s="804"/>
      <c r="M311" s="784">
        <f t="shared" si="18"/>
        <v>0</v>
      </c>
      <c r="N311" s="804"/>
      <c r="O311" s="784">
        <f t="shared" si="19"/>
        <v>0</v>
      </c>
      <c r="P311" s="784">
        <f t="shared" si="20"/>
        <v>0</v>
      </c>
    </row>
    <row r="312" spans="3:16" ht="12.75">
      <c r="C312" s="780">
        <f>IF(D264="","-",+C311+1)</f>
        <v>2056</v>
      </c>
      <c r="D312" s="728">
        <f t="shared" si="21"/>
        <v>7017496.907552082</v>
      </c>
      <c r="E312" s="781">
        <f t="shared" si="24"/>
        <v>306218.046875</v>
      </c>
      <c r="F312" s="781">
        <f t="shared" si="17"/>
        <v>6711278.860677082</v>
      </c>
      <c r="G312" s="728">
        <f t="shared" si="22"/>
        <v>6864387.884114582</v>
      </c>
      <c r="H312" s="786">
        <f>+J265*G312+E312</f>
        <v>1070727.2059313965</v>
      </c>
      <c r="I312" s="787">
        <f>+J266*G312+E312</f>
        <v>1070727.2059313965</v>
      </c>
      <c r="J312" s="784">
        <f t="shared" si="23"/>
        <v>0</v>
      </c>
      <c r="K312" s="784"/>
      <c r="L312" s="804"/>
      <c r="M312" s="784">
        <f t="shared" si="18"/>
        <v>0</v>
      </c>
      <c r="N312" s="804"/>
      <c r="O312" s="784">
        <f t="shared" si="19"/>
        <v>0</v>
      </c>
      <c r="P312" s="784">
        <f t="shared" si="20"/>
        <v>0</v>
      </c>
    </row>
    <row r="313" spans="3:16" ht="12.75">
      <c r="C313" s="780">
        <f>IF(D264="","-",+C312+1)</f>
        <v>2057</v>
      </c>
      <c r="D313" s="728">
        <f t="shared" si="21"/>
        <v>6711278.860677082</v>
      </c>
      <c r="E313" s="781">
        <f t="shared" si="24"/>
        <v>306218.046875</v>
      </c>
      <c r="F313" s="781">
        <f t="shared" si="17"/>
        <v>6405060.813802082</v>
      </c>
      <c r="G313" s="728">
        <f t="shared" si="22"/>
        <v>6558169.837239582</v>
      </c>
      <c r="H313" s="786">
        <f>+J265*G313+E313</f>
        <v>1036622.708129624</v>
      </c>
      <c r="I313" s="787">
        <f>+J266*G313+E313</f>
        <v>1036622.708129624</v>
      </c>
      <c r="J313" s="784">
        <f t="shared" si="23"/>
        <v>0</v>
      </c>
      <c r="K313" s="784"/>
      <c r="L313" s="804"/>
      <c r="M313" s="784">
        <f t="shared" si="18"/>
        <v>0</v>
      </c>
      <c r="N313" s="804"/>
      <c r="O313" s="784">
        <f t="shared" si="19"/>
        <v>0</v>
      </c>
      <c r="P313" s="784">
        <f t="shared" si="20"/>
        <v>0</v>
      </c>
    </row>
    <row r="314" spans="3:16" ht="12.75">
      <c r="C314" s="780">
        <f>IF(D264="","-",+C313+1)</f>
        <v>2058</v>
      </c>
      <c r="D314" s="728">
        <f t="shared" si="21"/>
        <v>6405060.813802082</v>
      </c>
      <c r="E314" s="781">
        <f t="shared" si="24"/>
        <v>306218.046875</v>
      </c>
      <c r="F314" s="781">
        <f t="shared" si="17"/>
        <v>6098842.766927082</v>
      </c>
      <c r="G314" s="728">
        <f t="shared" si="22"/>
        <v>6251951.790364582</v>
      </c>
      <c r="H314" s="786">
        <f>+J265*G314+E314</f>
        <v>1002518.2103278517</v>
      </c>
      <c r="I314" s="787">
        <f>+J266*G314+E314</f>
        <v>1002518.2103278517</v>
      </c>
      <c r="J314" s="784">
        <f t="shared" si="23"/>
        <v>0</v>
      </c>
      <c r="K314" s="784"/>
      <c r="L314" s="804"/>
      <c r="M314" s="784">
        <f t="shared" si="18"/>
        <v>0</v>
      </c>
      <c r="N314" s="804"/>
      <c r="O314" s="784">
        <f t="shared" si="19"/>
        <v>0</v>
      </c>
      <c r="P314" s="784">
        <f t="shared" si="20"/>
        <v>0</v>
      </c>
    </row>
    <row r="315" spans="3:16" ht="12.75">
      <c r="C315" s="780">
        <f>IF(D264="","-",+C314+1)</f>
        <v>2059</v>
      </c>
      <c r="D315" s="728">
        <f t="shared" si="21"/>
        <v>6098842.766927082</v>
      </c>
      <c r="E315" s="781">
        <f t="shared" si="24"/>
        <v>306218.046875</v>
      </c>
      <c r="F315" s="781">
        <f t="shared" si="17"/>
        <v>5792624.720052082</v>
      </c>
      <c r="G315" s="728">
        <f t="shared" si="22"/>
        <v>5945733.743489582</v>
      </c>
      <c r="H315" s="786">
        <f>+J265*G315+E315</f>
        <v>968413.7125260794</v>
      </c>
      <c r="I315" s="787">
        <f>+J266*G315+E315</f>
        <v>968413.7125260794</v>
      </c>
      <c r="J315" s="784">
        <f t="shared" si="23"/>
        <v>0</v>
      </c>
      <c r="K315" s="784"/>
      <c r="L315" s="804"/>
      <c r="M315" s="784">
        <f t="shared" si="18"/>
        <v>0</v>
      </c>
      <c r="N315" s="804"/>
      <c r="O315" s="784">
        <f t="shared" si="19"/>
        <v>0</v>
      </c>
      <c r="P315" s="784">
        <f t="shared" si="20"/>
        <v>0</v>
      </c>
    </row>
    <row r="316" spans="3:16" ht="12.75">
      <c r="C316" s="780">
        <f>IF(D264="","-",+C315+1)</f>
        <v>2060</v>
      </c>
      <c r="D316" s="728">
        <f t="shared" si="21"/>
        <v>5792624.720052082</v>
      </c>
      <c r="E316" s="781">
        <f t="shared" si="24"/>
        <v>306218.046875</v>
      </c>
      <c r="F316" s="781">
        <f t="shared" si="17"/>
        <v>5486406.673177082</v>
      </c>
      <c r="G316" s="728">
        <f t="shared" si="22"/>
        <v>5639515.696614582</v>
      </c>
      <c r="H316" s="786">
        <f>+J265*G316+E316</f>
        <v>934309.2147243071</v>
      </c>
      <c r="I316" s="787">
        <f>+J266*G316+E316</f>
        <v>934309.2147243071</v>
      </c>
      <c r="J316" s="784">
        <f t="shared" si="23"/>
        <v>0</v>
      </c>
      <c r="K316" s="784"/>
      <c r="L316" s="804"/>
      <c r="M316" s="784">
        <f t="shared" si="18"/>
        <v>0</v>
      </c>
      <c r="N316" s="804"/>
      <c r="O316" s="784">
        <f t="shared" si="19"/>
        <v>0</v>
      </c>
      <c r="P316" s="784">
        <f t="shared" si="20"/>
        <v>0</v>
      </c>
    </row>
    <row r="317" spans="3:16" ht="12.75">
      <c r="C317" s="780">
        <f>IF(D264="","-",+C316+1)</f>
        <v>2061</v>
      </c>
      <c r="D317" s="728">
        <f t="shared" si="21"/>
        <v>5486406.673177082</v>
      </c>
      <c r="E317" s="781">
        <f t="shared" si="24"/>
        <v>306218.046875</v>
      </c>
      <c r="F317" s="781">
        <f t="shared" si="17"/>
        <v>5180188.626302082</v>
      </c>
      <c r="G317" s="728">
        <f t="shared" si="22"/>
        <v>5333297.649739582</v>
      </c>
      <c r="H317" s="786">
        <f>+J265*G317+E317</f>
        <v>900204.7169225347</v>
      </c>
      <c r="I317" s="787">
        <f>+J266*G317+E317</f>
        <v>900204.7169225347</v>
      </c>
      <c r="J317" s="784">
        <f t="shared" si="23"/>
        <v>0</v>
      </c>
      <c r="K317" s="784"/>
      <c r="L317" s="804"/>
      <c r="M317" s="784">
        <f t="shared" si="18"/>
        <v>0</v>
      </c>
      <c r="N317" s="804"/>
      <c r="O317" s="784">
        <f t="shared" si="19"/>
        <v>0</v>
      </c>
      <c r="P317" s="784">
        <f t="shared" si="20"/>
        <v>0</v>
      </c>
    </row>
    <row r="318" spans="3:16" ht="12.75">
      <c r="C318" s="780">
        <f>IF(D264="","-",+C317+1)</f>
        <v>2062</v>
      </c>
      <c r="D318" s="728">
        <f t="shared" si="21"/>
        <v>5180188.626302082</v>
      </c>
      <c r="E318" s="781">
        <f t="shared" si="24"/>
        <v>306218.046875</v>
      </c>
      <c r="F318" s="781">
        <f t="shared" si="17"/>
        <v>4873970.579427082</v>
      </c>
      <c r="G318" s="728">
        <f t="shared" si="22"/>
        <v>5027079.602864582</v>
      </c>
      <c r="H318" s="786">
        <f>+J265*G318+E318</f>
        <v>866100.2191207624</v>
      </c>
      <c r="I318" s="787">
        <f>+J266*G318+E318</f>
        <v>866100.2191207624</v>
      </c>
      <c r="J318" s="784">
        <f t="shared" si="23"/>
        <v>0</v>
      </c>
      <c r="K318" s="784"/>
      <c r="L318" s="804"/>
      <c r="M318" s="784">
        <f t="shared" si="18"/>
        <v>0</v>
      </c>
      <c r="N318" s="804"/>
      <c r="O318" s="784">
        <f t="shared" si="19"/>
        <v>0</v>
      </c>
      <c r="P318" s="784">
        <f t="shared" si="20"/>
        <v>0</v>
      </c>
    </row>
    <row r="319" spans="3:16" ht="12.75">
      <c r="C319" s="780">
        <f>IF(D264="","-",+C318+1)</f>
        <v>2063</v>
      </c>
      <c r="D319" s="728">
        <f t="shared" si="21"/>
        <v>4873970.579427082</v>
      </c>
      <c r="E319" s="781">
        <f t="shared" si="24"/>
        <v>306218.046875</v>
      </c>
      <c r="F319" s="781">
        <f t="shared" si="17"/>
        <v>4567752.532552082</v>
      </c>
      <c r="G319" s="728">
        <f t="shared" si="22"/>
        <v>4720861.555989582</v>
      </c>
      <c r="H319" s="786">
        <f>+J265*G319+E319</f>
        <v>831995.7213189901</v>
      </c>
      <c r="I319" s="787">
        <f>+J266*G319+E319</f>
        <v>831995.7213189901</v>
      </c>
      <c r="J319" s="784">
        <f t="shared" si="23"/>
        <v>0</v>
      </c>
      <c r="K319" s="784"/>
      <c r="L319" s="804"/>
      <c r="M319" s="784">
        <f t="shared" si="18"/>
        <v>0</v>
      </c>
      <c r="N319" s="804"/>
      <c r="O319" s="784">
        <f t="shared" si="19"/>
        <v>0</v>
      </c>
      <c r="P319" s="784">
        <f t="shared" si="20"/>
        <v>0</v>
      </c>
    </row>
    <row r="320" spans="3:16" ht="12.75">
      <c r="C320" s="780">
        <f>IF(D264="","-",+C319+1)</f>
        <v>2064</v>
      </c>
      <c r="D320" s="728">
        <f t="shared" si="21"/>
        <v>4567752.532552082</v>
      </c>
      <c r="E320" s="781">
        <f t="shared" si="24"/>
        <v>306218.046875</v>
      </c>
      <c r="F320" s="781">
        <f t="shared" si="17"/>
        <v>4261534.485677082</v>
      </c>
      <c r="G320" s="728">
        <f t="shared" si="22"/>
        <v>4414643.509114582</v>
      </c>
      <c r="H320" s="786">
        <f>+J265*G320+E320</f>
        <v>797891.2235172177</v>
      </c>
      <c r="I320" s="787">
        <f>+J266*G320+E320</f>
        <v>797891.2235172177</v>
      </c>
      <c r="J320" s="784">
        <f t="shared" si="23"/>
        <v>0</v>
      </c>
      <c r="K320" s="784"/>
      <c r="L320" s="804"/>
      <c r="M320" s="784">
        <f t="shared" si="18"/>
        <v>0</v>
      </c>
      <c r="N320" s="804"/>
      <c r="O320" s="784">
        <f t="shared" si="19"/>
        <v>0</v>
      </c>
      <c r="P320" s="784">
        <f t="shared" si="20"/>
        <v>0</v>
      </c>
    </row>
    <row r="321" spans="3:16" ht="12.75">
      <c r="C321" s="780">
        <f>IF(D264="","-",+C320+1)</f>
        <v>2065</v>
      </c>
      <c r="D321" s="728">
        <f t="shared" si="21"/>
        <v>4261534.485677082</v>
      </c>
      <c r="E321" s="781">
        <f t="shared" si="24"/>
        <v>306218.046875</v>
      </c>
      <c r="F321" s="781">
        <f t="shared" si="17"/>
        <v>3955316.438802082</v>
      </c>
      <c r="G321" s="728">
        <f t="shared" si="22"/>
        <v>4108425.462239582</v>
      </c>
      <c r="H321" s="786">
        <f>+J265*G321+E321</f>
        <v>763786.7257154454</v>
      </c>
      <c r="I321" s="787">
        <f>+J266*G321+E321</f>
        <v>763786.7257154454</v>
      </c>
      <c r="J321" s="784">
        <f t="shared" si="23"/>
        <v>0</v>
      </c>
      <c r="K321" s="784"/>
      <c r="L321" s="804"/>
      <c r="M321" s="784">
        <f t="shared" si="18"/>
        <v>0</v>
      </c>
      <c r="N321" s="804"/>
      <c r="O321" s="784">
        <f t="shared" si="19"/>
        <v>0</v>
      </c>
      <c r="P321" s="784">
        <f t="shared" si="20"/>
        <v>0</v>
      </c>
    </row>
    <row r="322" spans="3:16" ht="12.75">
      <c r="C322" s="780">
        <f>IF(D264="","-",+C321+1)</f>
        <v>2066</v>
      </c>
      <c r="D322" s="728">
        <f t="shared" si="21"/>
        <v>3955316.438802082</v>
      </c>
      <c r="E322" s="781">
        <f t="shared" si="24"/>
        <v>306218.046875</v>
      </c>
      <c r="F322" s="781">
        <f t="shared" si="17"/>
        <v>3649098.391927082</v>
      </c>
      <c r="G322" s="728">
        <f t="shared" si="22"/>
        <v>3802207.415364582</v>
      </c>
      <c r="H322" s="786">
        <f>+J265*G322+E322</f>
        <v>729682.227913673</v>
      </c>
      <c r="I322" s="787">
        <f>+J266*G322+E322</f>
        <v>729682.227913673</v>
      </c>
      <c r="J322" s="784">
        <f t="shared" si="23"/>
        <v>0</v>
      </c>
      <c r="K322" s="784"/>
      <c r="L322" s="804"/>
      <c r="M322" s="784">
        <f t="shared" si="18"/>
        <v>0</v>
      </c>
      <c r="N322" s="804"/>
      <c r="O322" s="784">
        <f t="shared" si="19"/>
        <v>0</v>
      </c>
      <c r="P322" s="784">
        <f t="shared" si="20"/>
        <v>0</v>
      </c>
    </row>
    <row r="323" spans="3:16" ht="12.75">
      <c r="C323" s="780">
        <f>IF(D264="","-",+C322+1)</f>
        <v>2067</v>
      </c>
      <c r="D323" s="728">
        <f t="shared" si="21"/>
        <v>3649098.391927082</v>
      </c>
      <c r="E323" s="781">
        <f t="shared" si="24"/>
        <v>306218.046875</v>
      </c>
      <c r="F323" s="781">
        <f t="shared" si="17"/>
        <v>3342880.345052082</v>
      </c>
      <c r="G323" s="728">
        <f t="shared" si="22"/>
        <v>3495989.368489582</v>
      </c>
      <c r="H323" s="786">
        <f>+J265*G323+E323</f>
        <v>695577.7301119007</v>
      </c>
      <c r="I323" s="787">
        <f>+J266*G323+E323</f>
        <v>695577.7301119007</v>
      </c>
      <c r="J323" s="784">
        <f t="shared" si="23"/>
        <v>0</v>
      </c>
      <c r="K323" s="784"/>
      <c r="L323" s="804"/>
      <c r="M323" s="784">
        <f t="shared" si="18"/>
        <v>0</v>
      </c>
      <c r="N323" s="804"/>
      <c r="O323" s="784">
        <f t="shared" si="19"/>
        <v>0</v>
      </c>
      <c r="P323" s="784">
        <f t="shared" si="20"/>
        <v>0</v>
      </c>
    </row>
    <row r="324" spans="3:16" ht="12.75">
      <c r="C324" s="780">
        <f>IF(D264="","-",+C323+1)</f>
        <v>2068</v>
      </c>
      <c r="D324" s="728">
        <f aca="true" t="shared" si="25" ref="D324:D329">F323</f>
        <v>3342880.345052082</v>
      </c>
      <c r="E324" s="781">
        <f t="shared" si="24"/>
        <v>306218.046875</v>
      </c>
      <c r="F324" s="781">
        <f t="shared" si="17"/>
        <v>3036662.298177082</v>
      </c>
      <c r="G324" s="728">
        <f t="shared" si="22"/>
        <v>3189771.321614582</v>
      </c>
      <c r="H324" s="786">
        <f>+J265*G324+E324</f>
        <v>661473.2323101284</v>
      </c>
      <c r="I324" s="787">
        <f>+J266*G324+E324</f>
        <v>661473.2323101284</v>
      </c>
      <c r="J324" s="784">
        <f t="shared" si="23"/>
        <v>0</v>
      </c>
      <c r="K324" s="784"/>
      <c r="L324" s="804"/>
      <c r="M324" s="784">
        <f t="shared" si="18"/>
        <v>0</v>
      </c>
      <c r="N324" s="804"/>
      <c r="O324" s="784">
        <f t="shared" si="19"/>
        <v>0</v>
      </c>
      <c r="P324" s="784">
        <f t="shared" si="20"/>
        <v>0</v>
      </c>
    </row>
    <row r="325" spans="3:16" ht="12.75">
      <c r="C325" s="780">
        <f>IF(D264="","-",+C324+1)</f>
        <v>2069</v>
      </c>
      <c r="D325" s="728">
        <f t="shared" si="25"/>
        <v>3036662.298177082</v>
      </c>
      <c r="E325" s="781">
        <f t="shared" si="24"/>
        <v>306218.046875</v>
      </c>
      <c r="F325" s="781">
        <f t="shared" si="17"/>
        <v>2730444.251302082</v>
      </c>
      <c r="G325" s="728">
        <f t="shared" si="22"/>
        <v>2883553.274739582</v>
      </c>
      <c r="H325" s="786">
        <f>+J265*G325+E325</f>
        <v>627368.7345083561</v>
      </c>
      <c r="I325" s="787">
        <f>+J266*G325+E325</f>
        <v>627368.7345083561</v>
      </c>
      <c r="J325" s="784">
        <f t="shared" si="23"/>
        <v>0</v>
      </c>
      <c r="K325" s="784"/>
      <c r="L325" s="804"/>
      <c r="M325" s="784">
        <f t="shared" si="18"/>
        <v>0</v>
      </c>
      <c r="N325" s="804"/>
      <c r="O325" s="784">
        <f t="shared" si="19"/>
        <v>0</v>
      </c>
      <c r="P325" s="784">
        <f t="shared" si="20"/>
        <v>0</v>
      </c>
    </row>
    <row r="326" spans="3:16" ht="12.75">
      <c r="C326" s="780">
        <f>IF(D264="","-",+C325+1)</f>
        <v>2070</v>
      </c>
      <c r="D326" s="728">
        <f t="shared" si="25"/>
        <v>2730444.251302082</v>
      </c>
      <c r="E326" s="781">
        <f t="shared" si="24"/>
        <v>306218.046875</v>
      </c>
      <c r="F326" s="781">
        <f t="shared" si="17"/>
        <v>2424226.204427082</v>
      </c>
      <c r="G326" s="728">
        <f t="shared" si="22"/>
        <v>2577335.227864582</v>
      </c>
      <c r="H326" s="786">
        <f>+J265*G326+E326</f>
        <v>593264.2367065838</v>
      </c>
      <c r="I326" s="787">
        <f>+J266*G326+E326</f>
        <v>593264.2367065838</v>
      </c>
      <c r="J326" s="784">
        <f t="shared" si="23"/>
        <v>0</v>
      </c>
      <c r="K326" s="784"/>
      <c r="L326" s="804"/>
      <c r="M326" s="784">
        <f t="shared" si="18"/>
        <v>0</v>
      </c>
      <c r="N326" s="804"/>
      <c r="O326" s="784">
        <f t="shared" si="19"/>
        <v>0</v>
      </c>
      <c r="P326" s="784">
        <f t="shared" si="20"/>
        <v>0</v>
      </c>
    </row>
    <row r="327" spans="3:16" ht="12.75">
      <c r="C327" s="780">
        <f>IF(D264="","-",+C326+1)</f>
        <v>2071</v>
      </c>
      <c r="D327" s="728">
        <f t="shared" si="25"/>
        <v>2424226.204427082</v>
      </c>
      <c r="E327" s="781">
        <f t="shared" si="24"/>
        <v>306218.046875</v>
      </c>
      <c r="F327" s="781">
        <f t="shared" si="17"/>
        <v>2118008.157552082</v>
      </c>
      <c r="G327" s="728">
        <f t="shared" si="22"/>
        <v>2271117.180989582</v>
      </c>
      <c r="H327" s="786">
        <f>+J265*G327+E327</f>
        <v>559159.7389048113</v>
      </c>
      <c r="I327" s="787">
        <f>+J266*G327+E327</f>
        <v>559159.7389048113</v>
      </c>
      <c r="J327" s="784">
        <f t="shared" si="23"/>
        <v>0</v>
      </c>
      <c r="K327" s="784"/>
      <c r="L327" s="804"/>
      <c r="M327" s="784">
        <f t="shared" si="18"/>
        <v>0</v>
      </c>
      <c r="N327" s="804"/>
      <c r="O327" s="784">
        <f t="shared" si="19"/>
        <v>0</v>
      </c>
      <c r="P327" s="784">
        <f t="shared" si="20"/>
        <v>0</v>
      </c>
    </row>
    <row r="328" spans="3:16" ht="12.75">
      <c r="C328" s="780">
        <f>IF(D264="","-",+C327+1)</f>
        <v>2072</v>
      </c>
      <c r="D328" s="728">
        <f t="shared" si="25"/>
        <v>2118008.157552082</v>
      </c>
      <c r="E328" s="781">
        <f t="shared" si="24"/>
        <v>306218.046875</v>
      </c>
      <c r="F328" s="781">
        <f t="shared" si="17"/>
        <v>1811790.110677082</v>
      </c>
      <c r="G328" s="728">
        <f t="shared" si="22"/>
        <v>1964899.134114582</v>
      </c>
      <c r="H328" s="786">
        <f>+J265*G328+E328</f>
        <v>525055.241103039</v>
      </c>
      <c r="I328" s="787">
        <f>+J266*G328+E328</f>
        <v>525055.241103039</v>
      </c>
      <c r="J328" s="784">
        <f t="shared" si="23"/>
        <v>0</v>
      </c>
      <c r="K328" s="784"/>
      <c r="L328" s="804"/>
      <c r="M328" s="784">
        <f t="shared" si="18"/>
        <v>0</v>
      </c>
      <c r="N328" s="804"/>
      <c r="O328" s="784">
        <f t="shared" si="19"/>
        <v>0</v>
      </c>
      <c r="P328" s="784">
        <f t="shared" si="20"/>
        <v>0</v>
      </c>
    </row>
    <row r="329" spans="3:16" ht="13.5" thickBot="1">
      <c r="C329" s="790">
        <f>IF(D264="","-",+C328+1)</f>
        <v>2073</v>
      </c>
      <c r="D329" s="791">
        <f t="shared" si="25"/>
        <v>1811790.110677082</v>
      </c>
      <c r="E329" s="781">
        <f t="shared" si="24"/>
        <v>306218.046875</v>
      </c>
      <c r="F329" s="792">
        <f t="shared" si="17"/>
        <v>1505572.063802082</v>
      </c>
      <c r="G329" s="791">
        <f t="shared" si="22"/>
        <v>1658681.087239582</v>
      </c>
      <c r="H329" s="793">
        <f>+J265*G329+E329</f>
        <v>490950.7433012667</v>
      </c>
      <c r="I329" s="793">
        <f>+J266*G329+E329</f>
        <v>490950.7433012667</v>
      </c>
      <c r="J329" s="794">
        <f t="shared" si="23"/>
        <v>0</v>
      </c>
      <c r="K329" s="784"/>
      <c r="L329" s="805"/>
      <c r="M329" s="794">
        <f t="shared" si="18"/>
        <v>0</v>
      </c>
      <c r="N329" s="805"/>
      <c r="O329" s="794">
        <f t="shared" si="19"/>
        <v>0</v>
      </c>
      <c r="P329" s="794">
        <f t="shared" si="20"/>
        <v>0</v>
      </c>
    </row>
    <row r="330" spans="3:15" ht="12.75">
      <c r="C330" s="728" t="s">
        <v>92</v>
      </c>
      <c r="D330" s="722"/>
      <c r="E330" s="722">
        <f>SUM(E270:E329)</f>
        <v>18092382.936197918</v>
      </c>
      <c r="F330" s="722"/>
      <c r="G330" s="722"/>
      <c r="H330" s="722">
        <f>SUM(H270:H329)</f>
        <v>89525674.6027518</v>
      </c>
      <c r="I330" s="722">
        <f>SUM(I270:I329)</f>
        <v>89525674.6027518</v>
      </c>
      <c r="J330" s="722">
        <f>SUM(J270:J329)</f>
        <v>0</v>
      </c>
      <c r="K330" s="722"/>
      <c r="L330" s="722"/>
      <c r="M330" s="722"/>
      <c r="N330" s="722"/>
      <c r="O330" s="722"/>
    </row>
    <row r="331" spans="4:15" ht="12.75">
      <c r="D331" s="532"/>
      <c r="E331" s="308"/>
      <c r="F331" s="308"/>
      <c r="G331" s="308"/>
      <c r="H331" s="308"/>
      <c r="I331" s="701"/>
      <c r="J331" s="701"/>
      <c r="K331" s="722"/>
      <c r="L331" s="701"/>
      <c r="M331" s="701"/>
      <c r="N331" s="701"/>
      <c r="O331" s="701"/>
    </row>
    <row r="332" spans="3:15" ht="12.75">
      <c r="C332" s="308" t="s">
        <v>14</v>
      </c>
      <c r="D332" s="532"/>
      <c r="E332" s="308"/>
      <c r="F332" s="308"/>
      <c r="G332" s="308"/>
      <c r="H332" s="308"/>
      <c r="I332" s="701"/>
      <c r="J332" s="701"/>
      <c r="K332" s="722"/>
      <c r="L332" s="701"/>
      <c r="M332" s="701"/>
      <c r="N332" s="701"/>
      <c r="O332" s="701"/>
    </row>
    <row r="333" spans="3:15" ht="12.75">
      <c r="C333" s="308"/>
      <c r="D333" s="532"/>
      <c r="E333" s="308"/>
      <c r="F333" s="308"/>
      <c r="G333" s="308"/>
      <c r="H333" s="308"/>
      <c r="I333" s="701"/>
      <c r="J333" s="701"/>
      <c r="K333" s="722"/>
      <c r="L333" s="701"/>
      <c r="M333" s="701"/>
      <c r="N333" s="701"/>
      <c r="O333" s="701"/>
    </row>
    <row r="334" spans="3:15" ht="12.75">
      <c r="C334" s="741" t="s">
        <v>15</v>
      </c>
      <c r="D334" s="728"/>
      <c r="E334" s="728"/>
      <c r="F334" s="728"/>
      <c r="G334" s="728"/>
      <c r="H334" s="722"/>
      <c r="I334" s="722"/>
      <c r="J334" s="796"/>
      <c r="K334" s="796"/>
      <c r="L334" s="796"/>
      <c r="M334" s="796"/>
      <c r="N334" s="796"/>
      <c r="O334" s="796"/>
    </row>
    <row r="335" spans="3:15" ht="12.75">
      <c r="C335" s="727" t="s">
        <v>272</v>
      </c>
      <c r="D335" s="728"/>
      <c r="E335" s="728"/>
      <c r="F335" s="728"/>
      <c r="G335" s="728"/>
      <c r="H335" s="722"/>
      <c r="I335" s="722"/>
      <c r="J335" s="796"/>
      <c r="K335" s="796"/>
      <c r="L335" s="796"/>
      <c r="M335" s="796"/>
      <c r="N335" s="796"/>
      <c r="O335" s="796"/>
    </row>
    <row r="336" spans="3:15" ht="12.75">
      <c r="C336" s="727" t="s">
        <v>93</v>
      </c>
      <c r="D336" s="728"/>
      <c r="E336" s="728"/>
      <c r="F336" s="728"/>
      <c r="G336" s="728"/>
      <c r="H336" s="722"/>
      <c r="I336" s="722"/>
      <c r="J336" s="796"/>
      <c r="K336" s="796"/>
      <c r="L336" s="796"/>
      <c r="M336" s="796"/>
      <c r="N336" s="796"/>
      <c r="O336" s="796"/>
    </row>
    <row r="337" spans="1:17" ht="20.25">
      <c r="A337" s="729" t="str">
        <f>""&amp;A262&amp;" Worksheet K -  ATRR TRUE-UP Calculation for PJM Projects Charged to Benefiting Zones"</f>
        <v> Worksheet K -  ATRR TRUE-UP Calculation for PJM Projects Charged to Benefiting Zones</v>
      </c>
      <c r="B337" s="341"/>
      <c r="C337" s="717"/>
      <c r="D337" s="532"/>
      <c r="E337" s="308"/>
      <c r="F337" s="700"/>
      <c r="G337" s="700"/>
      <c r="H337" s="308"/>
      <c r="I337" s="701"/>
      <c r="L337" s="557"/>
      <c r="M337" s="557"/>
      <c r="N337" s="557"/>
      <c r="O337" s="646" t="str">
        <f>"Page "&amp;SUM(Q$6:Q337)&amp;" of "</f>
        <v>Page 5 of </v>
      </c>
      <c r="P337" s="647">
        <f>COUNT(Q$6:Q$58387)</f>
        <v>12</v>
      </c>
      <c r="Q337" s="730">
        <v>1</v>
      </c>
    </row>
    <row r="338" spans="2:11" ht="12.75">
      <c r="B338" s="341"/>
      <c r="C338" s="308"/>
      <c r="D338" s="532"/>
      <c r="E338" s="308"/>
      <c r="F338" s="308"/>
      <c r="G338" s="308"/>
      <c r="H338" s="308"/>
      <c r="I338" s="701"/>
      <c r="J338" s="308"/>
      <c r="K338" s="420"/>
    </row>
    <row r="339" spans="2:17" ht="18">
      <c r="B339" s="650" t="s">
        <v>475</v>
      </c>
      <c r="C339" s="731" t="s">
        <v>94</v>
      </c>
      <c r="D339" s="532"/>
      <c r="E339" s="308"/>
      <c r="F339" s="308"/>
      <c r="G339" s="308"/>
      <c r="H339" s="308"/>
      <c r="I339" s="701"/>
      <c r="J339" s="701"/>
      <c r="K339" s="722"/>
      <c r="L339" s="701"/>
      <c r="M339" s="701"/>
      <c r="N339" s="701"/>
      <c r="O339" s="701"/>
      <c r="Q339" s="420"/>
    </row>
    <row r="340" spans="2:15" ht="18.75">
      <c r="B340" s="650"/>
      <c r="C340" s="649"/>
      <c r="D340" s="532"/>
      <c r="E340" s="308"/>
      <c r="F340" s="308"/>
      <c r="G340" s="308"/>
      <c r="H340" s="308"/>
      <c r="I340" s="701"/>
      <c r="J340" s="701"/>
      <c r="K340" s="722"/>
      <c r="L340" s="701"/>
      <c r="M340" s="701"/>
      <c r="N340" s="701"/>
      <c r="O340" s="701"/>
    </row>
    <row r="341" spans="2:15" ht="18.75">
      <c r="B341" s="650"/>
      <c r="C341" s="649" t="s">
        <v>95</v>
      </c>
      <c r="D341" s="532"/>
      <c r="E341" s="308"/>
      <c r="F341" s="308"/>
      <c r="G341" s="308"/>
      <c r="H341" s="308"/>
      <c r="I341" s="701"/>
      <c r="J341" s="701"/>
      <c r="K341" s="722"/>
      <c r="L341" s="701"/>
      <c r="M341" s="701"/>
      <c r="N341" s="701"/>
      <c r="O341" s="701"/>
    </row>
    <row r="342" spans="3:15" ht="15.75" thickBot="1">
      <c r="C342" s="236"/>
      <c r="D342" s="532"/>
      <c r="E342" s="308"/>
      <c r="F342" s="308"/>
      <c r="G342" s="308"/>
      <c r="H342" s="308"/>
      <c r="I342" s="701"/>
      <c r="J342" s="701"/>
      <c r="K342" s="722"/>
      <c r="L342" s="701"/>
      <c r="M342" s="701"/>
      <c r="N342" s="701"/>
      <c r="O342" s="701"/>
    </row>
    <row r="343" spans="3:15" ht="15.75">
      <c r="C343" s="652" t="s">
        <v>96</v>
      </c>
      <c r="D343" s="532"/>
      <c r="E343" s="308"/>
      <c r="F343" s="308"/>
      <c r="G343" s="308"/>
      <c r="H343" s="798"/>
      <c r="I343" s="308" t="s">
        <v>75</v>
      </c>
      <c r="J343" s="308"/>
      <c r="K343" s="420"/>
      <c r="L343" s="827">
        <f>+J349</f>
        <v>2017</v>
      </c>
      <c r="M343" s="808" t="s">
        <v>53</v>
      </c>
      <c r="N343" s="808" t="s">
        <v>54</v>
      </c>
      <c r="O343" s="809" t="s">
        <v>56</v>
      </c>
    </row>
    <row r="344" spans="3:15" ht="15.75">
      <c r="C344" s="652"/>
      <c r="D344" s="532"/>
      <c r="E344" s="308"/>
      <c r="F344" s="308"/>
      <c r="H344" s="308"/>
      <c r="I344" s="736"/>
      <c r="J344" s="736"/>
      <c r="K344" s="737"/>
      <c r="L344" s="828" t="s">
        <v>244</v>
      </c>
      <c r="M344" s="829">
        <f>VLOOKUP(J349,C356:P415,10)</f>
        <v>7102318</v>
      </c>
      <c r="N344" s="829">
        <f>VLOOKUP(J349,C356:P415,12)</f>
        <v>7102318</v>
      </c>
      <c r="O344" s="830">
        <f>+N344-M344</f>
        <v>0</v>
      </c>
    </row>
    <row r="345" spans="3:15" ht="12.75" customHeight="1">
      <c r="C345" s="741" t="s">
        <v>97</v>
      </c>
      <c r="D345" s="1472" t="s">
        <v>917</v>
      </c>
      <c r="E345" s="1472"/>
      <c r="F345" s="1472"/>
      <c r="G345" s="1472"/>
      <c r="H345" s="1472"/>
      <c r="I345" s="1472"/>
      <c r="J345" s="1472"/>
      <c r="K345" s="722"/>
      <c r="L345" s="828" t="s">
        <v>245</v>
      </c>
      <c r="M345" s="831">
        <f>VLOOKUP(J349,C356:P415,6)</f>
        <v>7002468.971511424</v>
      </c>
      <c r="N345" s="831">
        <f>VLOOKUP(J349,C356:P415,7)</f>
        <v>7002468.971511424</v>
      </c>
      <c r="O345" s="832">
        <f>+N345-M345</f>
        <v>0</v>
      </c>
    </row>
    <row r="346" spans="3:15" ht="13.5" thickBot="1">
      <c r="C346" s="745"/>
      <c r="D346" s="1472"/>
      <c r="E346" s="1472"/>
      <c r="F346" s="1472"/>
      <c r="G346" s="1472"/>
      <c r="H346" s="1472"/>
      <c r="I346" s="1472"/>
      <c r="J346" s="1472"/>
      <c r="K346" s="722"/>
      <c r="L346" s="764" t="s">
        <v>246</v>
      </c>
      <c r="M346" s="833">
        <f>+M345-M344</f>
        <v>-99849.02848857641</v>
      </c>
      <c r="N346" s="833">
        <f>+N345-N344</f>
        <v>-99849.02848857641</v>
      </c>
      <c r="O346" s="834">
        <f>+O345-O344</f>
        <v>0</v>
      </c>
    </row>
    <row r="347" spans="3:16" ht="13.5" thickBot="1">
      <c r="C347" s="748"/>
      <c r="D347" s="749"/>
      <c r="E347" s="747"/>
      <c r="F347" s="747"/>
      <c r="G347" s="747"/>
      <c r="H347" s="747"/>
      <c r="I347" s="747"/>
      <c r="J347" s="747"/>
      <c r="K347" s="750"/>
      <c r="L347" s="747"/>
      <c r="M347" s="747"/>
      <c r="N347" s="747"/>
      <c r="O347" s="747"/>
      <c r="P347" s="341"/>
    </row>
    <row r="348" spans="3:16" ht="13.5" thickBot="1">
      <c r="C348" s="751" t="s">
        <v>98</v>
      </c>
      <c r="D348" s="752"/>
      <c r="E348" s="752"/>
      <c r="F348" s="752"/>
      <c r="G348" s="752"/>
      <c r="H348" s="752"/>
      <c r="I348" s="752"/>
      <c r="J348" s="752"/>
      <c r="K348" s="754"/>
      <c r="P348" s="755"/>
    </row>
    <row r="349" spans="3:16" ht="15">
      <c r="C349" s="756" t="s">
        <v>76</v>
      </c>
      <c r="D349" s="1365">
        <v>56691968</v>
      </c>
      <c r="E349" s="717" t="s">
        <v>77</v>
      </c>
      <c r="H349" s="757"/>
      <c r="I349" s="757"/>
      <c r="J349" s="758">
        <v>2017</v>
      </c>
      <c r="K349" s="548"/>
      <c r="L349" s="1462" t="s">
        <v>78</v>
      </c>
      <c r="M349" s="1462"/>
      <c r="N349" s="1462"/>
      <c r="O349" s="1462"/>
      <c r="P349" s="420"/>
    </row>
    <row r="350" spans="3:16" ht="12.75">
      <c r="C350" s="756" t="s">
        <v>79</v>
      </c>
      <c r="D350" s="1366">
        <v>2015</v>
      </c>
      <c r="E350" s="756" t="s">
        <v>80</v>
      </c>
      <c r="F350" s="757"/>
      <c r="G350" s="757"/>
      <c r="I350" s="169"/>
      <c r="J350" s="802">
        <f>IF(H343="",0,$F$15)</f>
        <v>0</v>
      </c>
      <c r="K350" s="759"/>
      <c r="L350" s="722" t="s">
        <v>286</v>
      </c>
      <c r="P350" s="420"/>
    </row>
    <row r="351" spans="3:16" ht="12.75">
      <c r="C351" s="756" t="s">
        <v>81</v>
      </c>
      <c r="D351" s="1365">
        <v>6</v>
      </c>
      <c r="E351" s="756" t="s">
        <v>82</v>
      </c>
      <c r="F351" s="757"/>
      <c r="G351" s="757"/>
      <c r="I351" s="169"/>
      <c r="J351" s="760">
        <f>$F$68</f>
        <v>0.11137324579597359</v>
      </c>
      <c r="K351" s="761"/>
      <c r="L351" s="308" t="str">
        <f>"          INPUT TRUE-UP ARR (WITH &amp; WITHOUT INCENTIVES) FROM EACH PRIOR YEAR"</f>
        <v>          INPUT TRUE-UP ARR (WITH &amp; WITHOUT INCENTIVES) FROM EACH PRIOR YEAR</v>
      </c>
      <c r="P351" s="420"/>
    </row>
    <row r="352" spans="3:16" ht="12.75">
      <c r="C352" s="756" t="s">
        <v>83</v>
      </c>
      <c r="D352" s="762">
        <f>H$77</f>
        <v>64</v>
      </c>
      <c r="E352" s="756" t="s">
        <v>84</v>
      </c>
      <c r="F352" s="757"/>
      <c r="G352" s="757"/>
      <c r="I352" s="169"/>
      <c r="J352" s="760">
        <f>IF(H343="",+J351,$F$67)</f>
        <v>0.11137324579597359</v>
      </c>
      <c r="K352" s="763"/>
      <c r="L352" s="308" t="s">
        <v>166</v>
      </c>
      <c r="M352" s="763"/>
      <c r="N352" s="763"/>
      <c r="O352" s="763"/>
      <c r="P352" s="420"/>
    </row>
    <row r="353" spans="3:16" ht="13.5" thickBot="1">
      <c r="C353" s="756" t="s">
        <v>85</v>
      </c>
      <c r="D353" s="799" t="s">
        <v>877</v>
      </c>
      <c r="E353" s="764" t="s">
        <v>86</v>
      </c>
      <c r="F353" s="765"/>
      <c r="G353" s="765"/>
      <c r="H353" s="766"/>
      <c r="I353" s="766"/>
      <c r="J353" s="744">
        <f>IF(D349=0,0,D349/D352)</f>
        <v>885812</v>
      </c>
      <c r="K353" s="722"/>
      <c r="L353" s="722" t="s">
        <v>167</v>
      </c>
      <c r="M353" s="722"/>
      <c r="N353" s="722"/>
      <c r="O353" s="722"/>
      <c r="P353" s="420"/>
    </row>
    <row r="354" spans="2:16" ht="38.25">
      <c r="B354" s="837"/>
      <c r="C354" s="767" t="s">
        <v>76</v>
      </c>
      <c r="D354" s="768" t="s">
        <v>87</v>
      </c>
      <c r="E354" s="769" t="s">
        <v>88</v>
      </c>
      <c r="F354" s="768" t="s">
        <v>89</v>
      </c>
      <c r="G354" s="768" t="s">
        <v>247</v>
      </c>
      <c r="H354" s="769" t="s">
        <v>160</v>
      </c>
      <c r="I354" s="770" t="s">
        <v>160</v>
      </c>
      <c r="J354" s="767" t="s">
        <v>99</v>
      </c>
      <c r="K354" s="771"/>
      <c r="L354" s="769" t="s">
        <v>162</v>
      </c>
      <c r="M354" s="769" t="s">
        <v>168</v>
      </c>
      <c r="N354" s="769" t="s">
        <v>162</v>
      </c>
      <c r="O354" s="769" t="s">
        <v>170</v>
      </c>
      <c r="P354" s="769" t="s">
        <v>90</v>
      </c>
    </row>
    <row r="355" spans="3:16" ht="13.5" thickBot="1">
      <c r="C355" s="773" t="s">
        <v>478</v>
      </c>
      <c r="D355" s="774" t="s">
        <v>479</v>
      </c>
      <c r="E355" s="773" t="s">
        <v>372</v>
      </c>
      <c r="F355" s="774" t="s">
        <v>479</v>
      </c>
      <c r="G355" s="774" t="s">
        <v>479</v>
      </c>
      <c r="H355" s="775" t="s">
        <v>102</v>
      </c>
      <c r="I355" s="776" t="s">
        <v>104</v>
      </c>
      <c r="J355" s="777" t="s">
        <v>16</v>
      </c>
      <c r="K355" s="778"/>
      <c r="L355" s="775" t="s">
        <v>91</v>
      </c>
      <c r="M355" s="775" t="s">
        <v>91</v>
      </c>
      <c r="N355" s="775" t="s">
        <v>264</v>
      </c>
      <c r="O355" s="775" t="s">
        <v>264</v>
      </c>
      <c r="P355" s="775" t="s">
        <v>264</v>
      </c>
    </row>
    <row r="356" spans="3:16" ht="12.75">
      <c r="C356" s="780">
        <f>IF(D350="","-",D350)</f>
        <v>2015</v>
      </c>
      <c r="D356" s="728">
        <f>+D349</f>
        <v>56691968</v>
      </c>
      <c r="E356" s="786">
        <f>+J353/12*(12-D351)</f>
        <v>442906</v>
      </c>
      <c r="F356" s="835">
        <f aca="true" t="shared" si="26" ref="F356:F415">+D356-E356</f>
        <v>56249062</v>
      </c>
      <c r="G356" s="728">
        <f>+(D356+F356)/2</f>
        <v>56470515</v>
      </c>
      <c r="H356" s="782">
        <f>+J351*G356+E356</f>
        <v>6732210.547320213</v>
      </c>
      <c r="I356" s="783">
        <f>+J352*G356+E356</f>
        <v>6732210.547320213</v>
      </c>
      <c r="J356" s="784">
        <f>+I356-H356</f>
        <v>0</v>
      </c>
      <c r="K356" s="784"/>
      <c r="L356" s="803">
        <v>6946099</v>
      </c>
      <c r="M356" s="836">
        <f aca="true" t="shared" si="27" ref="M356:M415">IF(L356&lt;&gt;0,+H356-L356,0)</f>
        <v>-213888.45267978683</v>
      </c>
      <c r="N356" s="803">
        <v>6946099</v>
      </c>
      <c r="O356" s="836">
        <f aca="true" t="shared" si="28" ref="O356:O415">IF(N356&lt;&gt;0,+I356-N356,0)</f>
        <v>-213888.45267978683</v>
      </c>
      <c r="P356" s="836">
        <f aca="true" t="shared" si="29" ref="P356:P415">+O356-M356</f>
        <v>0</v>
      </c>
    </row>
    <row r="357" spans="3:16" ht="12.75">
      <c r="C357" s="780">
        <f>IF(D350="","-",+C356+1)</f>
        <v>2016</v>
      </c>
      <c r="D357" s="728">
        <f aca="true" t="shared" si="30" ref="D357:D409">F356</f>
        <v>56249062</v>
      </c>
      <c r="E357" s="781">
        <f>IF(D357&gt;$J$353,$J$353,D357)</f>
        <v>885812</v>
      </c>
      <c r="F357" s="781">
        <f t="shared" si="26"/>
        <v>55363250</v>
      </c>
      <c r="G357" s="728">
        <f aca="true" t="shared" si="31" ref="G357:G415">+(D357+F357)/2</f>
        <v>55806156</v>
      </c>
      <c r="H357" s="786">
        <f>+J351*G357+E357</f>
        <v>7101124.729116446</v>
      </c>
      <c r="I357" s="787">
        <f>+J352*G357+E357</f>
        <v>7101124.729116446</v>
      </c>
      <c r="J357" s="784">
        <f>+I357-H357</f>
        <v>0</v>
      </c>
      <c r="K357" s="784"/>
      <c r="L357" s="804">
        <v>6500748</v>
      </c>
      <c r="M357" s="784">
        <f t="shared" si="27"/>
        <v>600376.7291164463</v>
      </c>
      <c r="N357" s="804">
        <v>6500748</v>
      </c>
      <c r="O357" s="784">
        <f t="shared" si="28"/>
        <v>600376.7291164463</v>
      </c>
      <c r="P357" s="784">
        <f t="shared" si="29"/>
        <v>0</v>
      </c>
    </row>
    <row r="358" spans="3:16" ht="12.75">
      <c r="C358" s="1367">
        <f>IF(D350="","-",+C357+1)</f>
        <v>2017</v>
      </c>
      <c r="D358" s="728">
        <f t="shared" si="30"/>
        <v>55363250</v>
      </c>
      <c r="E358" s="781">
        <f aca="true" t="shared" si="32" ref="E358:E415">IF(D358&gt;$J$353,$J$353,D358)</f>
        <v>885812</v>
      </c>
      <c r="F358" s="781">
        <f t="shared" si="26"/>
        <v>54477438</v>
      </c>
      <c r="G358" s="728">
        <f t="shared" si="31"/>
        <v>54920344</v>
      </c>
      <c r="H358" s="786">
        <f>+J351*G358+E358</f>
        <v>7002468.971511424</v>
      </c>
      <c r="I358" s="787">
        <f>+J352*G358+E358</f>
        <v>7002468.971511424</v>
      </c>
      <c r="J358" s="784">
        <f aca="true" t="shared" si="33" ref="J358:J415">+I358-H358</f>
        <v>0</v>
      </c>
      <c r="K358" s="784"/>
      <c r="L358" s="804">
        <v>7102318</v>
      </c>
      <c r="M358" s="784">
        <f t="shared" si="27"/>
        <v>-99849.02848857641</v>
      </c>
      <c r="N358" s="804">
        <v>7102318</v>
      </c>
      <c r="O358" s="784">
        <f t="shared" si="28"/>
        <v>-99849.02848857641</v>
      </c>
      <c r="P358" s="784">
        <f t="shared" si="29"/>
        <v>0</v>
      </c>
    </row>
    <row r="359" spans="3:16" ht="12.75">
      <c r="C359" s="1308">
        <f>IF(D350="","-",+C358+1)</f>
        <v>2018</v>
      </c>
      <c r="D359" s="728">
        <f t="shared" si="30"/>
        <v>54477438</v>
      </c>
      <c r="E359" s="781">
        <f t="shared" si="32"/>
        <v>885812</v>
      </c>
      <c r="F359" s="781">
        <f t="shared" si="26"/>
        <v>53591626</v>
      </c>
      <c r="G359" s="728">
        <f t="shared" si="31"/>
        <v>54034532</v>
      </c>
      <c r="H359" s="786">
        <f>+J351*G359+E359</f>
        <v>6903813.2139064</v>
      </c>
      <c r="I359" s="787">
        <f>+J352*G359+E359</f>
        <v>6903813.2139064</v>
      </c>
      <c r="J359" s="784">
        <f t="shared" si="33"/>
        <v>0</v>
      </c>
      <c r="K359" s="784"/>
      <c r="L359" s="804"/>
      <c r="M359" s="784">
        <f t="shared" si="27"/>
        <v>0</v>
      </c>
      <c r="N359" s="804"/>
      <c r="O359" s="784">
        <f t="shared" si="28"/>
        <v>0</v>
      </c>
      <c r="P359" s="784">
        <f t="shared" si="29"/>
        <v>0</v>
      </c>
    </row>
    <row r="360" spans="3:16" ht="12.75">
      <c r="C360" s="1308">
        <f>IF(D350="","-",+C359+1)</f>
        <v>2019</v>
      </c>
      <c r="D360" s="728">
        <f t="shared" si="30"/>
        <v>53591626</v>
      </c>
      <c r="E360" s="781">
        <f t="shared" si="32"/>
        <v>885812</v>
      </c>
      <c r="F360" s="781">
        <f t="shared" si="26"/>
        <v>52705814</v>
      </c>
      <c r="G360" s="728">
        <f t="shared" si="31"/>
        <v>53148720</v>
      </c>
      <c r="H360" s="786">
        <f>+J351*G360+E360</f>
        <v>6805157.456301377</v>
      </c>
      <c r="I360" s="787">
        <f>+J352*G360+E360</f>
        <v>6805157.456301377</v>
      </c>
      <c r="J360" s="784">
        <f t="shared" si="33"/>
        <v>0</v>
      </c>
      <c r="K360" s="784"/>
      <c r="L360" s="804"/>
      <c r="M360" s="784">
        <f t="shared" si="27"/>
        <v>0</v>
      </c>
      <c r="N360" s="804"/>
      <c r="O360" s="784">
        <f t="shared" si="28"/>
        <v>0</v>
      </c>
      <c r="P360" s="784">
        <f t="shared" si="29"/>
        <v>0</v>
      </c>
    </row>
    <row r="361" spans="3:16" ht="12.75">
      <c r="C361" s="780">
        <f>IF(D350="","-",+C360+1)</f>
        <v>2020</v>
      </c>
      <c r="D361" s="728">
        <f t="shared" si="30"/>
        <v>52705814</v>
      </c>
      <c r="E361" s="781">
        <f t="shared" si="32"/>
        <v>885812</v>
      </c>
      <c r="F361" s="781">
        <f t="shared" si="26"/>
        <v>51820002</v>
      </c>
      <c r="G361" s="728">
        <f t="shared" si="31"/>
        <v>52262908</v>
      </c>
      <c r="H361" s="786">
        <f>+J351*G361+E361</f>
        <v>6706501.698696354</v>
      </c>
      <c r="I361" s="787">
        <f>+J352*G361+E361</f>
        <v>6706501.698696354</v>
      </c>
      <c r="J361" s="784">
        <f t="shared" si="33"/>
        <v>0</v>
      </c>
      <c r="K361" s="784"/>
      <c r="L361" s="804"/>
      <c r="M361" s="784">
        <f t="shared" si="27"/>
        <v>0</v>
      </c>
      <c r="N361" s="804"/>
      <c r="O361" s="784">
        <f t="shared" si="28"/>
        <v>0</v>
      </c>
      <c r="P361" s="784">
        <f t="shared" si="29"/>
        <v>0</v>
      </c>
    </row>
    <row r="362" spans="3:16" ht="12.75">
      <c r="C362" s="780">
        <f>IF(D350="","-",+C361+1)</f>
        <v>2021</v>
      </c>
      <c r="D362" s="728">
        <f t="shared" si="30"/>
        <v>51820002</v>
      </c>
      <c r="E362" s="781">
        <f t="shared" si="32"/>
        <v>885812</v>
      </c>
      <c r="F362" s="781">
        <f t="shared" si="26"/>
        <v>50934190</v>
      </c>
      <c r="G362" s="728">
        <f t="shared" si="31"/>
        <v>51377096</v>
      </c>
      <c r="H362" s="786">
        <f>+J351*G362+E362</f>
        <v>6607845.941091332</v>
      </c>
      <c r="I362" s="787">
        <f>+J352*G362+E362</f>
        <v>6607845.941091332</v>
      </c>
      <c r="J362" s="784">
        <f t="shared" si="33"/>
        <v>0</v>
      </c>
      <c r="K362" s="784"/>
      <c r="L362" s="804"/>
      <c r="M362" s="784">
        <f t="shared" si="27"/>
        <v>0</v>
      </c>
      <c r="N362" s="804"/>
      <c r="O362" s="784">
        <f t="shared" si="28"/>
        <v>0</v>
      </c>
      <c r="P362" s="784">
        <f t="shared" si="29"/>
        <v>0</v>
      </c>
    </row>
    <row r="363" spans="3:16" ht="12.75">
      <c r="C363" s="780">
        <f>IF(D350="","-",+C362+1)</f>
        <v>2022</v>
      </c>
      <c r="D363" s="728">
        <f t="shared" si="30"/>
        <v>50934190</v>
      </c>
      <c r="E363" s="781">
        <f t="shared" si="32"/>
        <v>885812</v>
      </c>
      <c r="F363" s="781">
        <f t="shared" si="26"/>
        <v>50048378</v>
      </c>
      <c r="G363" s="728">
        <f t="shared" si="31"/>
        <v>50491284</v>
      </c>
      <c r="H363" s="786">
        <f>+J351*G363+E363</f>
        <v>6509190.183486309</v>
      </c>
      <c r="I363" s="787">
        <f>+J352*G363+E363</f>
        <v>6509190.183486309</v>
      </c>
      <c r="J363" s="784">
        <f t="shared" si="33"/>
        <v>0</v>
      </c>
      <c r="K363" s="784"/>
      <c r="L363" s="804"/>
      <c r="M363" s="784">
        <f t="shared" si="27"/>
        <v>0</v>
      </c>
      <c r="N363" s="804"/>
      <c r="O363" s="784">
        <f t="shared" si="28"/>
        <v>0</v>
      </c>
      <c r="P363" s="784">
        <f t="shared" si="29"/>
        <v>0</v>
      </c>
    </row>
    <row r="364" spans="3:16" ht="12.75">
      <c r="C364" s="780">
        <f>IF(D350="","-",+C363+1)</f>
        <v>2023</v>
      </c>
      <c r="D364" s="728">
        <f t="shared" si="30"/>
        <v>50048378</v>
      </c>
      <c r="E364" s="781">
        <f t="shared" si="32"/>
        <v>885812</v>
      </c>
      <c r="F364" s="781">
        <f t="shared" si="26"/>
        <v>49162566</v>
      </c>
      <c r="G364" s="728">
        <f t="shared" si="31"/>
        <v>49605472</v>
      </c>
      <c r="H364" s="786">
        <f>+J351*G364+E364</f>
        <v>6410534.425881285</v>
      </c>
      <c r="I364" s="787">
        <f>+J352*G364+E364</f>
        <v>6410534.425881285</v>
      </c>
      <c r="J364" s="784">
        <f t="shared" si="33"/>
        <v>0</v>
      </c>
      <c r="K364" s="784"/>
      <c r="L364" s="804"/>
      <c r="M364" s="784">
        <f t="shared" si="27"/>
        <v>0</v>
      </c>
      <c r="N364" s="804"/>
      <c r="O364" s="784">
        <f t="shared" si="28"/>
        <v>0</v>
      </c>
      <c r="P364" s="784">
        <f t="shared" si="29"/>
        <v>0</v>
      </c>
    </row>
    <row r="365" spans="3:16" ht="12.75">
      <c r="C365" s="780">
        <f>IF(D350="","-",+C364+1)</f>
        <v>2024</v>
      </c>
      <c r="D365" s="728">
        <f t="shared" si="30"/>
        <v>49162566</v>
      </c>
      <c r="E365" s="781">
        <f t="shared" si="32"/>
        <v>885812</v>
      </c>
      <c r="F365" s="781">
        <f t="shared" si="26"/>
        <v>48276754</v>
      </c>
      <c r="G365" s="728">
        <f t="shared" si="31"/>
        <v>48719660</v>
      </c>
      <c r="H365" s="786">
        <f>+J351*G365+E365</f>
        <v>6311878.6682762625</v>
      </c>
      <c r="I365" s="787">
        <f>+J352*G365+E365</f>
        <v>6311878.6682762625</v>
      </c>
      <c r="J365" s="784">
        <f t="shared" si="33"/>
        <v>0</v>
      </c>
      <c r="K365" s="784"/>
      <c r="L365" s="804"/>
      <c r="M365" s="784">
        <f t="shared" si="27"/>
        <v>0</v>
      </c>
      <c r="N365" s="804"/>
      <c r="O365" s="784">
        <f t="shared" si="28"/>
        <v>0</v>
      </c>
      <c r="P365" s="784">
        <f t="shared" si="29"/>
        <v>0</v>
      </c>
    </row>
    <row r="366" spans="3:16" ht="12.75">
      <c r="C366" s="780">
        <f>IF(D350="","-",+C365+1)</f>
        <v>2025</v>
      </c>
      <c r="D366" s="728">
        <f t="shared" si="30"/>
        <v>48276754</v>
      </c>
      <c r="E366" s="781">
        <f t="shared" si="32"/>
        <v>885812</v>
      </c>
      <c r="F366" s="781">
        <f t="shared" si="26"/>
        <v>47390942</v>
      </c>
      <c r="G366" s="728">
        <f t="shared" si="31"/>
        <v>47833848</v>
      </c>
      <c r="H366" s="786">
        <f>+J351*G366+E366</f>
        <v>6213222.91067124</v>
      </c>
      <c r="I366" s="787">
        <f>+J352*G366+E366</f>
        <v>6213222.91067124</v>
      </c>
      <c r="J366" s="784">
        <f t="shared" si="33"/>
        <v>0</v>
      </c>
      <c r="K366" s="784"/>
      <c r="L366" s="804"/>
      <c r="M366" s="784">
        <f t="shared" si="27"/>
        <v>0</v>
      </c>
      <c r="N366" s="804"/>
      <c r="O366" s="784">
        <f t="shared" si="28"/>
        <v>0</v>
      </c>
      <c r="P366" s="784">
        <f t="shared" si="29"/>
        <v>0</v>
      </c>
    </row>
    <row r="367" spans="3:16" ht="12.75">
      <c r="C367" s="780">
        <f>IF(D350="","-",+C366+1)</f>
        <v>2026</v>
      </c>
      <c r="D367" s="728">
        <f t="shared" si="30"/>
        <v>47390942</v>
      </c>
      <c r="E367" s="781">
        <f t="shared" si="32"/>
        <v>885812</v>
      </c>
      <c r="F367" s="781">
        <f t="shared" si="26"/>
        <v>46505130</v>
      </c>
      <c r="G367" s="728">
        <f t="shared" si="31"/>
        <v>46948036</v>
      </c>
      <c r="H367" s="786">
        <f>+J351*G367+E367</f>
        <v>6114567.153066217</v>
      </c>
      <c r="I367" s="787">
        <f>+J352*G367+E367</f>
        <v>6114567.153066217</v>
      </c>
      <c r="J367" s="784">
        <f t="shared" si="33"/>
        <v>0</v>
      </c>
      <c r="K367" s="784"/>
      <c r="L367" s="804"/>
      <c r="M367" s="784">
        <f t="shared" si="27"/>
        <v>0</v>
      </c>
      <c r="N367" s="804"/>
      <c r="O367" s="784">
        <f t="shared" si="28"/>
        <v>0</v>
      </c>
      <c r="P367" s="784">
        <f t="shared" si="29"/>
        <v>0</v>
      </c>
    </row>
    <row r="368" spans="3:16" ht="12.75">
      <c r="C368" s="780">
        <f>IF(D350="","-",+C367+1)</f>
        <v>2027</v>
      </c>
      <c r="D368" s="728">
        <f t="shared" si="30"/>
        <v>46505130</v>
      </c>
      <c r="E368" s="781">
        <f t="shared" si="32"/>
        <v>885812</v>
      </c>
      <c r="F368" s="781">
        <f t="shared" si="26"/>
        <v>45619318</v>
      </c>
      <c r="G368" s="728">
        <f t="shared" si="31"/>
        <v>46062224</v>
      </c>
      <c r="H368" s="786">
        <f>+J351*G368+E368</f>
        <v>6015911.395461193</v>
      </c>
      <c r="I368" s="787">
        <f>+J352*G368+E368</f>
        <v>6015911.395461193</v>
      </c>
      <c r="J368" s="784">
        <f t="shared" si="33"/>
        <v>0</v>
      </c>
      <c r="K368" s="784"/>
      <c r="L368" s="804"/>
      <c r="M368" s="784">
        <f t="shared" si="27"/>
        <v>0</v>
      </c>
      <c r="N368" s="804"/>
      <c r="O368" s="784">
        <f t="shared" si="28"/>
        <v>0</v>
      </c>
      <c r="P368" s="784">
        <f t="shared" si="29"/>
        <v>0</v>
      </c>
    </row>
    <row r="369" spans="3:16" ht="12.75">
      <c r="C369" s="780">
        <f>IF(D350="","-",+C368+1)</f>
        <v>2028</v>
      </c>
      <c r="D369" s="728">
        <f t="shared" si="30"/>
        <v>45619318</v>
      </c>
      <c r="E369" s="781">
        <f t="shared" si="32"/>
        <v>885812</v>
      </c>
      <c r="F369" s="781">
        <f t="shared" si="26"/>
        <v>44733506</v>
      </c>
      <c r="G369" s="728">
        <f t="shared" si="31"/>
        <v>45176412</v>
      </c>
      <c r="H369" s="786">
        <f>+J351*G369+E369</f>
        <v>5917255.637856171</v>
      </c>
      <c r="I369" s="787">
        <f>+J352*G369+E369</f>
        <v>5917255.637856171</v>
      </c>
      <c r="J369" s="784">
        <f t="shared" si="33"/>
        <v>0</v>
      </c>
      <c r="K369" s="784"/>
      <c r="L369" s="804"/>
      <c r="M369" s="784">
        <f t="shared" si="27"/>
        <v>0</v>
      </c>
      <c r="N369" s="804"/>
      <c r="O369" s="784">
        <f t="shared" si="28"/>
        <v>0</v>
      </c>
      <c r="P369" s="784">
        <f t="shared" si="29"/>
        <v>0</v>
      </c>
    </row>
    <row r="370" spans="3:16" ht="12.75">
      <c r="C370" s="780">
        <f>IF(D350="","-",+C369+1)</f>
        <v>2029</v>
      </c>
      <c r="D370" s="728">
        <f t="shared" si="30"/>
        <v>44733506</v>
      </c>
      <c r="E370" s="781">
        <f t="shared" si="32"/>
        <v>885812</v>
      </c>
      <c r="F370" s="781">
        <f t="shared" si="26"/>
        <v>43847694</v>
      </c>
      <c r="G370" s="728">
        <f t="shared" si="31"/>
        <v>44290600</v>
      </c>
      <c r="H370" s="786">
        <f>+J351*G370+E370</f>
        <v>5818599.880251148</v>
      </c>
      <c r="I370" s="787">
        <f>+J352*G370+E370</f>
        <v>5818599.880251148</v>
      </c>
      <c r="J370" s="784">
        <f t="shared" si="33"/>
        <v>0</v>
      </c>
      <c r="K370" s="784"/>
      <c r="L370" s="804"/>
      <c r="M370" s="784">
        <f t="shared" si="27"/>
        <v>0</v>
      </c>
      <c r="N370" s="804"/>
      <c r="O370" s="784">
        <f t="shared" si="28"/>
        <v>0</v>
      </c>
      <c r="P370" s="784">
        <f t="shared" si="29"/>
        <v>0</v>
      </c>
    </row>
    <row r="371" spans="3:16" ht="12.75">
      <c r="C371" s="780">
        <f>IF(D350="","-",+C370+1)</f>
        <v>2030</v>
      </c>
      <c r="D371" s="728">
        <f t="shared" si="30"/>
        <v>43847694</v>
      </c>
      <c r="E371" s="781">
        <f t="shared" si="32"/>
        <v>885812</v>
      </c>
      <c r="F371" s="781">
        <f t="shared" si="26"/>
        <v>42961882</v>
      </c>
      <c r="G371" s="728">
        <f t="shared" si="31"/>
        <v>43404788</v>
      </c>
      <c r="H371" s="786">
        <f>+J351*G371+E371</f>
        <v>5719944.122646125</v>
      </c>
      <c r="I371" s="787">
        <f>+J352*G371+E371</f>
        <v>5719944.122646125</v>
      </c>
      <c r="J371" s="784">
        <f t="shared" si="33"/>
        <v>0</v>
      </c>
      <c r="K371" s="784"/>
      <c r="L371" s="804"/>
      <c r="M371" s="784">
        <f t="shared" si="27"/>
        <v>0</v>
      </c>
      <c r="N371" s="804"/>
      <c r="O371" s="784">
        <f t="shared" si="28"/>
        <v>0</v>
      </c>
      <c r="P371" s="784">
        <f t="shared" si="29"/>
        <v>0</v>
      </c>
    </row>
    <row r="372" spans="3:16" ht="12.75">
      <c r="C372" s="780">
        <f>IF(D350="","-",+C371+1)</f>
        <v>2031</v>
      </c>
      <c r="D372" s="728">
        <f t="shared" si="30"/>
        <v>42961882</v>
      </c>
      <c r="E372" s="781">
        <f t="shared" si="32"/>
        <v>885812</v>
      </c>
      <c r="F372" s="781">
        <f t="shared" si="26"/>
        <v>42076070</v>
      </c>
      <c r="G372" s="728">
        <f t="shared" si="31"/>
        <v>42518976</v>
      </c>
      <c r="H372" s="786">
        <f>+J351*G372+E372</f>
        <v>5621288.365041102</v>
      </c>
      <c r="I372" s="787">
        <f>+J352*G372+E372</f>
        <v>5621288.365041102</v>
      </c>
      <c r="J372" s="784">
        <f t="shared" si="33"/>
        <v>0</v>
      </c>
      <c r="K372" s="784"/>
      <c r="L372" s="804"/>
      <c r="M372" s="784">
        <f t="shared" si="27"/>
        <v>0</v>
      </c>
      <c r="N372" s="804"/>
      <c r="O372" s="784">
        <f t="shared" si="28"/>
        <v>0</v>
      </c>
      <c r="P372" s="784">
        <f t="shared" si="29"/>
        <v>0</v>
      </c>
    </row>
    <row r="373" spans="3:16" ht="12.75">
      <c r="C373" s="780">
        <f>IF(D350="","-",+C372+1)</f>
        <v>2032</v>
      </c>
      <c r="D373" s="728">
        <f t="shared" si="30"/>
        <v>42076070</v>
      </c>
      <c r="E373" s="781">
        <f t="shared" si="32"/>
        <v>885812</v>
      </c>
      <c r="F373" s="781">
        <f t="shared" si="26"/>
        <v>41190258</v>
      </c>
      <c r="G373" s="728">
        <f t="shared" si="31"/>
        <v>41633164</v>
      </c>
      <c r="H373" s="786">
        <f>+J351*G373+E373</f>
        <v>5522632.607436079</v>
      </c>
      <c r="I373" s="787">
        <f>+J352*G373+E373</f>
        <v>5522632.607436079</v>
      </c>
      <c r="J373" s="784">
        <f t="shared" si="33"/>
        <v>0</v>
      </c>
      <c r="K373" s="784"/>
      <c r="L373" s="804"/>
      <c r="M373" s="784">
        <f t="shared" si="27"/>
        <v>0</v>
      </c>
      <c r="N373" s="804"/>
      <c r="O373" s="784">
        <f t="shared" si="28"/>
        <v>0</v>
      </c>
      <c r="P373" s="784">
        <f t="shared" si="29"/>
        <v>0</v>
      </c>
    </row>
    <row r="374" spans="3:16" ht="12.75">
      <c r="C374" s="780">
        <f>IF(D350="","-",+C373+1)</f>
        <v>2033</v>
      </c>
      <c r="D374" s="728">
        <f t="shared" si="30"/>
        <v>41190258</v>
      </c>
      <c r="E374" s="781">
        <f t="shared" si="32"/>
        <v>885812</v>
      </c>
      <c r="F374" s="781">
        <f t="shared" si="26"/>
        <v>40304446</v>
      </c>
      <c r="G374" s="728">
        <f t="shared" si="31"/>
        <v>40747352</v>
      </c>
      <c r="H374" s="786">
        <f>+J351*G374+E374</f>
        <v>5423976.849831056</v>
      </c>
      <c r="I374" s="787">
        <f>+J352*G374+E374</f>
        <v>5423976.849831056</v>
      </c>
      <c r="J374" s="784">
        <f t="shared" si="33"/>
        <v>0</v>
      </c>
      <c r="K374" s="784"/>
      <c r="L374" s="804"/>
      <c r="M374" s="784">
        <f t="shared" si="27"/>
        <v>0</v>
      </c>
      <c r="N374" s="804"/>
      <c r="O374" s="784">
        <f t="shared" si="28"/>
        <v>0</v>
      </c>
      <c r="P374" s="784">
        <f t="shared" si="29"/>
        <v>0</v>
      </c>
    </row>
    <row r="375" spans="3:16" ht="12.75">
      <c r="C375" s="780">
        <f>IF(D350="","-",+C374+1)</f>
        <v>2034</v>
      </c>
      <c r="D375" s="728">
        <f t="shared" si="30"/>
        <v>40304446</v>
      </c>
      <c r="E375" s="781">
        <f t="shared" si="32"/>
        <v>885812</v>
      </c>
      <c r="F375" s="781">
        <f t="shared" si="26"/>
        <v>39418634</v>
      </c>
      <c r="G375" s="728">
        <f t="shared" si="31"/>
        <v>39861540</v>
      </c>
      <c r="H375" s="786">
        <f>+J351*G375+E375</f>
        <v>5325321.092226033</v>
      </c>
      <c r="I375" s="787">
        <f>+J352*G375+E375</f>
        <v>5325321.092226033</v>
      </c>
      <c r="J375" s="784">
        <f t="shared" si="33"/>
        <v>0</v>
      </c>
      <c r="K375" s="784"/>
      <c r="L375" s="804"/>
      <c r="M375" s="784">
        <f t="shared" si="27"/>
        <v>0</v>
      </c>
      <c r="N375" s="804"/>
      <c r="O375" s="784">
        <f t="shared" si="28"/>
        <v>0</v>
      </c>
      <c r="P375" s="784">
        <f t="shared" si="29"/>
        <v>0</v>
      </c>
    </row>
    <row r="376" spans="3:16" ht="12.75">
      <c r="C376" s="780">
        <f>IF(D350="","-",+C375+1)</f>
        <v>2035</v>
      </c>
      <c r="D376" s="728">
        <f t="shared" si="30"/>
        <v>39418634</v>
      </c>
      <c r="E376" s="781">
        <f t="shared" si="32"/>
        <v>885812</v>
      </c>
      <c r="F376" s="781">
        <f t="shared" si="26"/>
        <v>38532822</v>
      </c>
      <c r="G376" s="728">
        <f t="shared" si="31"/>
        <v>38975728</v>
      </c>
      <c r="H376" s="786">
        <f>+J351*G376+E376</f>
        <v>5226665.33462101</v>
      </c>
      <c r="I376" s="787">
        <f>+J352*G376+E376</f>
        <v>5226665.33462101</v>
      </c>
      <c r="J376" s="784">
        <f t="shared" si="33"/>
        <v>0</v>
      </c>
      <c r="K376" s="784"/>
      <c r="L376" s="804"/>
      <c r="M376" s="784">
        <f t="shared" si="27"/>
        <v>0</v>
      </c>
      <c r="N376" s="804"/>
      <c r="O376" s="784">
        <f t="shared" si="28"/>
        <v>0</v>
      </c>
      <c r="P376" s="784">
        <f t="shared" si="29"/>
        <v>0</v>
      </c>
    </row>
    <row r="377" spans="3:16" ht="12.75">
      <c r="C377" s="780">
        <f>IF(D350="","-",+C376+1)</f>
        <v>2036</v>
      </c>
      <c r="D377" s="728">
        <f t="shared" si="30"/>
        <v>38532822</v>
      </c>
      <c r="E377" s="781">
        <f t="shared" si="32"/>
        <v>885812</v>
      </c>
      <c r="F377" s="781">
        <f t="shared" si="26"/>
        <v>37647010</v>
      </c>
      <c r="G377" s="728">
        <f t="shared" si="31"/>
        <v>38089916</v>
      </c>
      <c r="H377" s="786">
        <f>+J351*G377+E377</f>
        <v>5128009.577015987</v>
      </c>
      <c r="I377" s="787">
        <f>+J352*G377+E377</f>
        <v>5128009.577015987</v>
      </c>
      <c r="J377" s="784">
        <f t="shared" si="33"/>
        <v>0</v>
      </c>
      <c r="K377" s="784"/>
      <c r="L377" s="804"/>
      <c r="M377" s="784">
        <f t="shared" si="27"/>
        <v>0</v>
      </c>
      <c r="N377" s="804"/>
      <c r="O377" s="784">
        <f t="shared" si="28"/>
        <v>0</v>
      </c>
      <c r="P377" s="784">
        <f t="shared" si="29"/>
        <v>0</v>
      </c>
    </row>
    <row r="378" spans="3:16" ht="12.75">
      <c r="C378" s="780">
        <f>IF(D350="","-",+C377+1)</f>
        <v>2037</v>
      </c>
      <c r="D378" s="728">
        <f t="shared" si="30"/>
        <v>37647010</v>
      </c>
      <c r="E378" s="781">
        <f t="shared" si="32"/>
        <v>885812</v>
      </c>
      <c r="F378" s="781">
        <f t="shared" si="26"/>
        <v>36761198</v>
      </c>
      <c r="G378" s="728">
        <f t="shared" si="31"/>
        <v>37204104</v>
      </c>
      <c r="H378" s="786">
        <f>+J351*G378+E378</f>
        <v>5029353.819410965</v>
      </c>
      <c r="I378" s="787">
        <f>+J352*G378+E378</f>
        <v>5029353.819410965</v>
      </c>
      <c r="J378" s="784">
        <f t="shared" si="33"/>
        <v>0</v>
      </c>
      <c r="K378" s="784"/>
      <c r="L378" s="804"/>
      <c r="M378" s="784">
        <f t="shared" si="27"/>
        <v>0</v>
      </c>
      <c r="N378" s="804"/>
      <c r="O378" s="784">
        <f t="shared" si="28"/>
        <v>0</v>
      </c>
      <c r="P378" s="784">
        <f t="shared" si="29"/>
        <v>0</v>
      </c>
    </row>
    <row r="379" spans="3:16" ht="12.75">
      <c r="C379" s="780">
        <f>IF(D350="","-",+C378+1)</f>
        <v>2038</v>
      </c>
      <c r="D379" s="728">
        <f t="shared" si="30"/>
        <v>36761198</v>
      </c>
      <c r="E379" s="781">
        <f t="shared" si="32"/>
        <v>885812</v>
      </c>
      <c r="F379" s="781">
        <f t="shared" si="26"/>
        <v>35875386</v>
      </c>
      <c r="G379" s="728">
        <f t="shared" si="31"/>
        <v>36318292</v>
      </c>
      <c r="H379" s="786">
        <f>+J351*G379+E379</f>
        <v>4930698.061805941</v>
      </c>
      <c r="I379" s="787">
        <f>+J352*G379+E379</f>
        <v>4930698.061805941</v>
      </c>
      <c r="J379" s="784">
        <f t="shared" si="33"/>
        <v>0</v>
      </c>
      <c r="K379" s="784"/>
      <c r="L379" s="804"/>
      <c r="M379" s="784">
        <f t="shared" si="27"/>
        <v>0</v>
      </c>
      <c r="N379" s="804"/>
      <c r="O379" s="784">
        <f t="shared" si="28"/>
        <v>0</v>
      </c>
      <c r="P379" s="784">
        <f t="shared" si="29"/>
        <v>0</v>
      </c>
    </row>
    <row r="380" spans="3:16" ht="12.75">
      <c r="C380" s="780">
        <f>IF(D350="","-",+C379+1)</f>
        <v>2039</v>
      </c>
      <c r="D380" s="728">
        <f t="shared" si="30"/>
        <v>35875386</v>
      </c>
      <c r="E380" s="781">
        <f t="shared" si="32"/>
        <v>885812</v>
      </c>
      <c r="F380" s="781">
        <f t="shared" si="26"/>
        <v>34989574</v>
      </c>
      <c r="G380" s="728">
        <f t="shared" si="31"/>
        <v>35432480</v>
      </c>
      <c r="H380" s="786">
        <f>+J351*G380+E380</f>
        <v>4832042.304200918</v>
      </c>
      <c r="I380" s="787">
        <f>+J352*G380+E380</f>
        <v>4832042.304200918</v>
      </c>
      <c r="J380" s="784">
        <f t="shared" si="33"/>
        <v>0</v>
      </c>
      <c r="K380" s="784"/>
      <c r="L380" s="804"/>
      <c r="M380" s="784">
        <f t="shared" si="27"/>
        <v>0</v>
      </c>
      <c r="N380" s="804"/>
      <c r="O380" s="784">
        <f t="shared" si="28"/>
        <v>0</v>
      </c>
      <c r="P380" s="784">
        <f t="shared" si="29"/>
        <v>0</v>
      </c>
    </row>
    <row r="381" spans="3:16" ht="12.75">
      <c r="C381" s="780">
        <f>IF(D350="","-",+C380+1)</f>
        <v>2040</v>
      </c>
      <c r="D381" s="728">
        <f t="shared" si="30"/>
        <v>34989574</v>
      </c>
      <c r="E381" s="781">
        <f t="shared" si="32"/>
        <v>885812</v>
      </c>
      <c r="F381" s="781">
        <f t="shared" si="26"/>
        <v>34103762</v>
      </c>
      <c r="G381" s="728">
        <f t="shared" si="31"/>
        <v>34546668</v>
      </c>
      <c r="H381" s="786">
        <f>+J351*G381+E381</f>
        <v>4733386.546595896</v>
      </c>
      <c r="I381" s="787">
        <f>+J352*G381+E381</f>
        <v>4733386.546595896</v>
      </c>
      <c r="J381" s="784">
        <f t="shared" si="33"/>
        <v>0</v>
      </c>
      <c r="K381" s="784"/>
      <c r="L381" s="804"/>
      <c r="M381" s="784">
        <f t="shared" si="27"/>
        <v>0</v>
      </c>
      <c r="N381" s="804"/>
      <c r="O381" s="784">
        <f t="shared" si="28"/>
        <v>0</v>
      </c>
      <c r="P381" s="784">
        <f t="shared" si="29"/>
        <v>0</v>
      </c>
    </row>
    <row r="382" spans="3:16" ht="12.75">
      <c r="C382" s="780">
        <f>IF(D350="","-",+C381+1)</f>
        <v>2041</v>
      </c>
      <c r="D382" s="728">
        <f t="shared" si="30"/>
        <v>34103762</v>
      </c>
      <c r="E382" s="781">
        <f t="shared" si="32"/>
        <v>885812</v>
      </c>
      <c r="F382" s="781">
        <f t="shared" si="26"/>
        <v>33217950</v>
      </c>
      <c r="G382" s="728">
        <f t="shared" si="31"/>
        <v>33660856</v>
      </c>
      <c r="H382" s="786">
        <f>+J351*G382+E382</f>
        <v>4634730.788990872</v>
      </c>
      <c r="I382" s="787">
        <f>+J352*G382+E382</f>
        <v>4634730.788990872</v>
      </c>
      <c r="J382" s="784">
        <f t="shared" si="33"/>
        <v>0</v>
      </c>
      <c r="K382" s="784"/>
      <c r="L382" s="804"/>
      <c r="M382" s="784">
        <f t="shared" si="27"/>
        <v>0</v>
      </c>
      <c r="N382" s="804"/>
      <c r="O382" s="784">
        <f t="shared" si="28"/>
        <v>0</v>
      </c>
      <c r="P382" s="784">
        <f t="shared" si="29"/>
        <v>0</v>
      </c>
    </row>
    <row r="383" spans="3:16" ht="12.75">
      <c r="C383" s="780">
        <f>IF(D350="","-",+C382+1)</f>
        <v>2042</v>
      </c>
      <c r="D383" s="728">
        <f t="shared" si="30"/>
        <v>33217950</v>
      </c>
      <c r="E383" s="781">
        <f t="shared" si="32"/>
        <v>885812</v>
      </c>
      <c r="F383" s="781">
        <f t="shared" si="26"/>
        <v>32332138</v>
      </c>
      <c r="G383" s="728">
        <f t="shared" si="31"/>
        <v>32775044</v>
      </c>
      <c r="H383" s="786">
        <f>+J351*G383+E383</f>
        <v>4536075.031385849</v>
      </c>
      <c r="I383" s="787">
        <f>+J352*G383+E383</f>
        <v>4536075.031385849</v>
      </c>
      <c r="J383" s="784">
        <f t="shared" si="33"/>
        <v>0</v>
      </c>
      <c r="K383" s="784"/>
      <c r="L383" s="804"/>
      <c r="M383" s="784">
        <f t="shared" si="27"/>
        <v>0</v>
      </c>
      <c r="N383" s="804"/>
      <c r="O383" s="784">
        <f t="shared" si="28"/>
        <v>0</v>
      </c>
      <c r="P383" s="784">
        <f t="shared" si="29"/>
        <v>0</v>
      </c>
    </row>
    <row r="384" spans="3:16" ht="12.75">
      <c r="C384" s="780">
        <f>IF(D350="","-",+C383+1)</f>
        <v>2043</v>
      </c>
      <c r="D384" s="728">
        <f t="shared" si="30"/>
        <v>32332138</v>
      </c>
      <c r="E384" s="781">
        <f t="shared" si="32"/>
        <v>885812</v>
      </c>
      <c r="F384" s="781">
        <f t="shared" si="26"/>
        <v>31446326</v>
      </c>
      <c r="G384" s="728">
        <f t="shared" si="31"/>
        <v>31889232</v>
      </c>
      <c r="H384" s="786">
        <f>+J351*G384+E384</f>
        <v>4437419.2737808265</v>
      </c>
      <c r="I384" s="787">
        <f>+J352*G384+E384</f>
        <v>4437419.2737808265</v>
      </c>
      <c r="J384" s="784">
        <f t="shared" si="33"/>
        <v>0</v>
      </c>
      <c r="K384" s="784"/>
      <c r="L384" s="804"/>
      <c r="M384" s="784">
        <f t="shared" si="27"/>
        <v>0</v>
      </c>
      <c r="N384" s="804"/>
      <c r="O384" s="784">
        <f t="shared" si="28"/>
        <v>0</v>
      </c>
      <c r="P384" s="784">
        <f t="shared" si="29"/>
        <v>0</v>
      </c>
    </row>
    <row r="385" spans="3:16" ht="12.75">
      <c r="C385" s="780">
        <f>IF(D350="","-",+C384+1)</f>
        <v>2044</v>
      </c>
      <c r="D385" s="728">
        <f t="shared" si="30"/>
        <v>31446326</v>
      </c>
      <c r="E385" s="781">
        <f t="shared" si="32"/>
        <v>885812</v>
      </c>
      <c r="F385" s="781">
        <f t="shared" si="26"/>
        <v>30560514</v>
      </c>
      <c r="G385" s="728">
        <f t="shared" si="31"/>
        <v>31003420</v>
      </c>
      <c r="H385" s="786">
        <f>+J351*G385+E385</f>
        <v>4338763.516175803</v>
      </c>
      <c r="I385" s="787">
        <f>+J352*G385+E385</f>
        <v>4338763.516175803</v>
      </c>
      <c r="J385" s="784">
        <f t="shared" si="33"/>
        <v>0</v>
      </c>
      <c r="K385" s="784"/>
      <c r="L385" s="804"/>
      <c r="M385" s="784">
        <f t="shared" si="27"/>
        <v>0</v>
      </c>
      <c r="N385" s="804"/>
      <c r="O385" s="784">
        <f t="shared" si="28"/>
        <v>0</v>
      </c>
      <c r="P385" s="784">
        <f t="shared" si="29"/>
        <v>0</v>
      </c>
    </row>
    <row r="386" spans="3:16" ht="12.75">
      <c r="C386" s="780">
        <f>IF(D350="","-",+C385+1)</f>
        <v>2045</v>
      </c>
      <c r="D386" s="728">
        <f t="shared" si="30"/>
        <v>30560514</v>
      </c>
      <c r="E386" s="781">
        <f t="shared" si="32"/>
        <v>885812</v>
      </c>
      <c r="F386" s="781">
        <f t="shared" si="26"/>
        <v>29674702</v>
      </c>
      <c r="G386" s="728">
        <f t="shared" si="31"/>
        <v>30117608</v>
      </c>
      <c r="H386" s="786">
        <f>+J351*G386+E386</f>
        <v>4240107.758570781</v>
      </c>
      <c r="I386" s="787">
        <f>+J352*G386+E386</f>
        <v>4240107.758570781</v>
      </c>
      <c r="J386" s="784">
        <f t="shared" si="33"/>
        <v>0</v>
      </c>
      <c r="K386" s="784"/>
      <c r="L386" s="804"/>
      <c r="M386" s="784">
        <f t="shared" si="27"/>
        <v>0</v>
      </c>
      <c r="N386" s="804"/>
      <c r="O386" s="784">
        <f t="shared" si="28"/>
        <v>0</v>
      </c>
      <c r="P386" s="784">
        <f t="shared" si="29"/>
        <v>0</v>
      </c>
    </row>
    <row r="387" spans="3:16" ht="12.75">
      <c r="C387" s="780">
        <f>IF(D350="","-",+C386+1)</f>
        <v>2046</v>
      </c>
      <c r="D387" s="728">
        <f t="shared" si="30"/>
        <v>29674702</v>
      </c>
      <c r="E387" s="781">
        <f t="shared" si="32"/>
        <v>885812</v>
      </c>
      <c r="F387" s="781">
        <f t="shared" si="26"/>
        <v>28788890</v>
      </c>
      <c r="G387" s="728">
        <f t="shared" si="31"/>
        <v>29231796</v>
      </c>
      <c r="H387" s="786">
        <f>+J351*G387+E387</f>
        <v>4141452.0009657578</v>
      </c>
      <c r="I387" s="787">
        <f>+J352*G387+E387</f>
        <v>4141452.0009657578</v>
      </c>
      <c r="J387" s="784">
        <f t="shared" si="33"/>
        <v>0</v>
      </c>
      <c r="K387" s="784"/>
      <c r="L387" s="804"/>
      <c r="M387" s="784">
        <f t="shared" si="27"/>
        <v>0</v>
      </c>
      <c r="N387" s="804"/>
      <c r="O387" s="784">
        <f t="shared" si="28"/>
        <v>0</v>
      </c>
      <c r="P387" s="784">
        <f t="shared" si="29"/>
        <v>0</v>
      </c>
    </row>
    <row r="388" spans="3:16" ht="12.75">
      <c r="C388" s="780">
        <f>IF(D350="","-",+C387+1)</f>
        <v>2047</v>
      </c>
      <c r="D388" s="728">
        <f t="shared" si="30"/>
        <v>28788890</v>
      </c>
      <c r="E388" s="781">
        <f t="shared" si="32"/>
        <v>885812</v>
      </c>
      <c r="F388" s="781">
        <f t="shared" si="26"/>
        <v>27903078</v>
      </c>
      <c r="G388" s="728">
        <f t="shared" si="31"/>
        <v>28345984</v>
      </c>
      <c r="H388" s="786">
        <f>+J351*G388+E388</f>
        <v>4042796.2433607345</v>
      </c>
      <c r="I388" s="787">
        <f>+J352*G388+E388</f>
        <v>4042796.2433607345</v>
      </c>
      <c r="J388" s="784">
        <f t="shared" si="33"/>
        <v>0</v>
      </c>
      <c r="K388" s="784"/>
      <c r="L388" s="804"/>
      <c r="M388" s="784">
        <f t="shared" si="27"/>
        <v>0</v>
      </c>
      <c r="N388" s="804"/>
      <c r="O388" s="784">
        <f t="shared" si="28"/>
        <v>0</v>
      </c>
      <c r="P388" s="784">
        <f t="shared" si="29"/>
        <v>0</v>
      </c>
    </row>
    <row r="389" spans="3:16" ht="12.75">
      <c r="C389" s="780">
        <f>IF(D350="","-",+C388+1)</f>
        <v>2048</v>
      </c>
      <c r="D389" s="728">
        <f t="shared" si="30"/>
        <v>27903078</v>
      </c>
      <c r="E389" s="781">
        <f t="shared" si="32"/>
        <v>885812</v>
      </c>
      <c r="F389" s="781">
        <f t="shared" si="26"/>
        <v>27017266</v>
      </c>
      <c r="G389" s="728">
        <f t="shared" si="31"/>
        <v>27460172</v>
      </c>
      <c r="H389" s="786">
        <f>+J351*G389+E389</f>
        <v>3944140.485755712</v>
      </c>
      <c r="I389" s="787">
        <f>+J352*G389+E389</f>
        <v>3944140.485755712</v>
      </c>
      <c r="J389" s="784">
        <f t="shared" si="33"/>
        <v>0</v>
      </c>
      <c r="K389" s="784"/>
      <c r="L389" s="804"/>
      <c r="M389" s="784">
        <f t="shared" si="27"/>
        <v>0</v>
      </c>
      <c r="N389" s="804"/>
      <c r="O389" s="784">
        <f t="shared" si="28"/>
        <v>0</v>
      </c>
      <c r="P389" s="784">
        <f t="shared" si="29"/>
        <v>0</v>
      </c>
    </row>
    <row r="390" spans="3:16" ht="12.75">
      <c r="C390" s="780">
        <f>IF(D350="","-",+C389+1)</f>
        <v>2049</v>
      </c>
      <c r="D390" s="728">
        <f t="shared" si="30"/>
        <v>27017266</v>
      </c>
      <c r="E390" s="781">
        <f t="shared" si="32"/>
        <v>885812</v>
      </c>
      <c r="F390" s="781">
        <f t="shared" si="26"/>
        <v>26131454</v>
      </c>
      <c r="G390" s="728">
        <f t="shared" si="31"/>
        <v>26574360</v>
      </c>
      <c r="H390" s="786">
        <f>+J351*G390+E390</f>
        <v>3845484.7281506886</v>
      </c>
      <c r="I390" s="787">
        <f>+J352*G390+E390</f>
        <v>3845484.7281506886</v>
      </c>
      <c r="J390" s="784">
        <f t="shared" si="33"/>
        <v>0</v>
      </c>
      <c r="K390" s="784"/>
      <c r="L390" s="804"/>
      <c r="M390" s="784">
        <f t="shared" si="27"/>
        <v>0</v>
      </c>
      <c r="N390" s="804"/>
      <c r="O390" s="784">
        <f t="shared" si="28"/>
        <v>0</v>
      </c>
      <c r="P390" s="784">
        <f t="shared" si="29"/>
        <v>0</v>
      </c>
    </row>
    <row r="391" spans="3:16" ht="12.75">
      <c r="C391" s="780">
        <f>IF(D350="","-",+C390+1)</f>
        <v>2050</v>
      </c>
      <c r="D391" s="728">
        <f t="shared" si="30"/>
        <v>26131454</v>
      </c>
      <c r="E391" s="781">
        <f t="shared" si="32"/>
        <v>885812</v>
      </c>
      <c r="F391" s="781">
        <f t="shared" si="26"/>
        <v>25245642</v>
      </c>
      <c r="G391" s="728">
        <f t="shared" si="31"/>
        <v>25688548</v>
      </c>
      <c r="H391" s="786">
        <f>+J351*G391+E391</f>
        <v>3746828.970545666</v>
      </c>
      <c r="I391" s="787">
        <f>+J352*G391+E391</f>
        <v>3746828.970545666</v>
      </c>
      <c r="J391" s="784">
        <f t="shared" si="33"/>
        <v>0</v>
      </c>
      <c r="K391" s="784"/>
      <c r="L391" s="804"/>
      <c r="M391" s="784">
        <f t="shared" si="27"/>
        <v>0</v>
      </c>
      <c r="N391" s="804"/>
      <c r="O391" s="784">
        <f t="shared" si="28"/>
        <v>0</v>
      </c>
      <c r="P391" s="784">
        <f t="shared" si="29"/>
        <v>0</v>
      </c>
    </row>
    <row r="392" spans="3:16" ht="12.75">
      <c r="C392" s="780">
        <f>IF(D350="","-",+C391+1)</f>
        <v>2051</v>
      </c>
      <c r="D392" s="728">
        <f t="shared" si="30"/>
        <v>25245642</v>
      </c>
      <c r="E392" s="781">
        <f t="shared" si="32"/>
        <v>885812</v>
      </c>
      <c r="F392" s="781">
        <f t="shared" si="26"/>
        <v>24359830</v>
      </c>
      <c r="G392" s="728">
        <f t="shared" si="31"/>
        <v>24802736</v>
      </c>
      <c r="H392" s="786">
        <f>+J351*G392+E392</f>
        <v>3648173.2129406426</v>
      </c>
      <c r="I392" s="787">
        <f>+J352*G392+E392</f>
        <v>3648173.2129406426</v>
      </c>
      <c r="J392" s="784">
        <f t="shared" si="33"/>
        <v>0</v>
      </c>
      <c r="K392" s="784"/>
      <c r="L392" s="804"/>
      <c r="M392" s="784">
        <f t="shared" si="27"/>
        <v>0</v>
      </c>
      <c r="N392" s="804"/>
      <c r="O392" s="784">
        <f t="shared" si="28"/>
        <v>0</v>
      </c>
      <c r="P392" s="784">
        <f t="shared" si="29"/>
        <v>0</v>
      </c>
    </row>
    <row r="393" spans="3:16" ht="12.75">
      <c r="C393" s="780">
        <f>IF(D350="","-",+C392+1)</f>
        <v>2052</v>
      </c>
      <c r="D393" s="728">
        <f t="shared" si="30"/>
        <v>24359830</v>
      </c>
      <c r="E393" s="781">
        <f t="shared" si="32"/>
        <v>885812</v>
      </c>
      <c r="F393" s="781">
        <f t="shared" si="26"/>
        <v>23474018</v>
      </c>
      <c r="G393" s="728">
        <f t="shared" si="31"/>
        <v>23916924</v>
      </c>
      <c r="H393" s="786">
        <f>+J351*G393+E393</f>
        <v>3549517.45533562</v>
      </c>
      <c r="I393" s="787">
        <f>+J352*G393+E393</f>
        <v>3549517.45533562</v>
      </c>
      <c r="J393" s="784">
        <f t="shared" si="33"/>
        <v>0</v>
      </c>
      <c r="K393" s="784"/>
      <c r="L393" s="804"/>
      <c r="M393" s="784">
        <f t="shared" si="27"/>
        <v>0</v>
      </c>
      <c r="N393" s="804"/>
      <c r="O393" s="784">
        <f t="shared" si="28"/>
        <v>0</v>
      </c>
      <c r="P393" s="784">
        <f t="shared" si="29"/>
        <v>0</v>
      </c>
    </row>
    <row r="394" spans="3:16" ht="12.75">
      <c r="C394" s="780">
        <f>IF(D350="","-",+C393+1)</f>
        <v>2053</v>
      </c>
      <c r="D394" s="728">
        <f t="shared" si="30"/>
        <v>23474018</v>
      </c>
      <c r="E394" s="781">
        <f t="shared" si="32"/>
        <v>885812</v>
      </c>
      <c r="F394" s="781">
        <f t="shared" si="26"/>
        <v>22588206</v>
      </c>
      <c r="G394" s="728">
        <f t="shared" si="31"/>
        <v>23031112</v>
      </c>
      <c r="H394" s="786">
        <f>+J351*G394+E394</f>
        <v>3450861.6977305966</v>
      </c>
      <c r="I394" s="787">
        <f>+J352*G394+E394</f>
        <v>3450861.6977305966</v>
      </c>
      <c r="J394" s="784">
        <f t="shared" si="33"/>
        <v>0</v>
      </c>
      <c r="K394" s="784"/>
      <c r="L394" s="804"/>
      <c r="M394" s="784">
        <f t="shared" si="27"/>
        <v>0</v>
      </c>
      <c r="N394" s="804"/>
      <c r="O394" s="784">
        <f t="shared" si="28"/>
        <v>0</v>
      </c>
      <c r="P394" s="784">
        <f t="shared" si="29"/>
        <v>0</v>
      </c>
    </row>
    <row r="395" spans="3:16" ht="12.75">
      <c r="C395" s="780">
        <f>IF(D350="","-",+C394+1)</f>
        <v>2054</v>
      </c>
      <c r="D395" s="728">
        <f t="shared" si="30"/>
        <v>22588206</v>
      </c>
      <c r="E395" s="781">
        <f t="shared" si="32"/>
        <v>885812</v>
      </c>
      <c r="F395" s="781">
        <f t="shared" si="26"/>
        <v>21702394</v>
      </c>
      <c r="G395" s="728">
        <f t="shared" si="31"/>
        <v>22145300</v>
      </c>
      <c r="H395" s="786">
        <f>+J351*G395+E395</f>
        <v>3352205.940125574</v>
      </c>
      <c r="I395" s="787">
        <f>+J352*G395+E395</f>
        <v>3352205.940125574</v>
      </c>
      <c r="J395" s="784">
        <f t="shared" si="33"/>
        <v>0</v>
      </c>
      <c r="K395" s="784"/>
      <c r="L395" s="804"/>
      <c r="M395" s="784">
        <f t="shared" si="27"/>
        <v>0</v>
      </c>
      <c r="N395" s="804"/>
      <c r="O395" s="784">
        <f t="shared" si="28"/>
        <v>0</v>
      </c>
      <c r="P395" s="784">
        <f t="shared" si="29"/>
        <v>0</v>
      </c>
    </row>
    <row r="396" spans="3:16" ht="12.75">
      <c r="C396" s="780">
        <f>IF(D350="","-",+C395+1)</f>
        <v>2055</v>
      </c>
      <c r="D396" s="728">
        <f t="shared" si="30"/>
        <v>21702394</v>
      </c>
      <c r="E396" s="781">
        <f t="shared" si="32"/>
        <v>885812</v>
      </c>
      <c r="F396" s="781">
        <f t="shared" si="26"/>
        <v>20816582</v>
      </c>
      <c r="G396" s="728">
        <f t="shared" si="31"/>
        <v>21259488</v>
      </c>
      <c r="H396" s="786">
        <f>+J351*G396+E396</f>
        <v>3253550.182520551</v>
      </c>
      <c r="I396" s="787">
        <f>+J352*G396+E396</f>
        <v>3253550.182520551</v>
      </c>
      <c r="J396" s="784">
        <f t="shared" si="33"/>
        <v>0</v>
      </c>
      <c r="K396" s="784"/>
      <c r="L396" s="804"/>
      <c r="M396" s="784">
        <f t="shared" si="27"/>
        <v>0</v>
      </c>
      <c r="N396" s="804"/>
      <c r="O396" s="784">
        <f t="shared" si="28"/>
        <v>0</v>
      </c>
      <c r="P396" s="784">
        <f t="shared" si="29"/>
        <v>0</v>
      </c>
    </row>
    <row r="397" spans="3:16" ht="12.75">
      <c r="C397" s="780">
        <f>IF(D350="","-",+C396+1)</f>
        <v>2056</v>
      </c>
      <c r="D397" s="728">
        <f t="shared" si="30"/>
        <v>20816582</v>
      </c>
      <c r="E397" s="781">
        <f t="shared" si="32"/>
        <v>885812</v>
      </c>
      <c r="F397" s="781">
        <f t="shared" si="26"/>
        <v>19930770</v>
      </c>
      <c r="G397" s="728">
        <f t="shared" si="31"/>
        <v>20373676</v>
      </c>
      <c r="H397" s="786">
        <f>+J351*G397+E397</f>
        <v>3154894.424915528</v>
      </c>
      <c r="I397" s="787">
        <f>+J352*G397+E397</f>
        <v>3154894.424915528</v>
      </c>
      <c r="J397" s="784">
        <f t="shared" si="33"/>
        <v>0</v>
      </c>
      <c r="K397" s="784"/>
      <c r="L397" s="804"/>
      <c r="M397" s="784">
        <f t="shared" si="27"/>
        <v>0</v>
      </c>
      <c r="N397" s="804"/>
      <c r="O397" s="784">
        <f t="shared" si="28"/>
        <v>0</v>
      </c>
      <c r="P397" s="784">
        <f t="shared" si="29"/>
        <v>0</v>
      </c>
    </row>
    <row r="398" spans="3:16" ht="12.75">
      <c r="C398" s="780">
        <f>IF(D350="","-",+C397+1)</f>
        <v>2057</v>
      </c>
      <c r="D398" s="728">
        <f t="shared" si="30"/>
        <v>19930770</v>
      </c>
      <c r="E398" s="781">
        <f t="shared" si="32"/>
        <v>885812</v>
      </c>
      <c r="F398" s="781">
        <f t="shared" si="26"/>
        <v>19044958</v>
      </c>
      <c r="G398" s="728">
        <f t="shared" si="31"/>
        <v>19487864</v>
      </c>
      <c r="H398" s="786">
        <f>+J351*G398+E398</f>
        <v>3056238.667310505</v>
      </c>
      <c r="I398" s="787">
        <f>+J352*G398+E398</f>
        <v>3056238.667310505</v>
      </c>
      <c r="J398" s="784">
        <f t="shared" si="33"/>
        <v>0</v>
      </c>
      <c r="K398" s="784"/>
      <c r="L398" s="804"/>
      <c r="M398" s="784">
        <f t="shared" si="27"/>
        <v>0</v>
      </c>
      <c r="N398" s="804"/>
      <c r="O398" s="784">
        <f t="shared" si="28"/>
        <v>0</v>
      </c>
      <c r="P398" s="784">
        <f t="shared" si="29"/>
        <v>0</v>
      </c>
    </row>
    <row r="399" spans="3:16" ht="12.75">
      <c r="C399" s="780">
        <f>IF(D350="","-",+C398+1)</f>
        <v>2058</v>
      </c>
      <c r="D399" s="728">
        <f t="shared" si="30"/>
        <v>19044958</v>
      </c>
      <c r="E399" s="781">
        <f t="shared" si="32"/>
        <v>885812</v>
      </c>
      <c r="F399" s="781">
        <f t="shared" si="26"/>
        <v>18159146</v>
      </c>
      <c r="G399" s="728">
        <f t="shared" si="31"/>
        <v>18602052</v>
      </c>
      <c r="H399" s="786">
        <f>+J351*G399+E399</f>
        <v>2957582.9097054824</v>
      </c>
      <c r="I399" s="787">
        <f>+J352*G399+E399</f>
        <v>2957582.9097054824</v>
      </c>
      <c r="J399" s="784">
        <f t="shared" si="33"/>
        <v>0</v>
      </c>
      <c r="K399" s="784"/>
      <c r="L399" s="804"/>
      <c r="M399" s="784">
        <f t="shared" si="27"/>
        <v>0</v>
      </c>
      <c r="N399" s="804"/>
      <c r="O399" s="784">
        <f t="shared" si="28"/>
        <v>0</v>
      </c>
      <c r="P399" s="784">
        <f t="shared" si="29"/>
        <v>0</v>
      </c>
    </row>
    <row r="400" spans="3:16" ht="12.75">
      <c r="C400" s="780">
        <f>IF(D350="","-",+C399+1)</f>
        <v>2059</v>
      </c>
      <c r="D400" s="728">
        <f t="shared" si="30"/>
        <v>18159146</v>
      </c>
      <c r="E400" s="781">
        <f t="shared" si="32"/>
        <v>885812</v>
      </c>
      <c r="F400" s="781">
        <f t="shared" si="26"/>
        <v>17273334</v>
      </c>
      <c r="G400" s="728">
        <f t="shared" si="31"/>
        <v>17716240</v>
      </c>
      <c r="H400" s="786">
        <f>+J351*G400+E400</f>
        <v>2858927.152100459</v>
      </c>
      <c r="I400" s="787">
        <f>+J352*G400+E400</f>
        <v>2858927.152100459</v>
      </c>
      <c r="J400" s="784">
        <f t="shared" si="33"/>
        <v>0</v>
      </c>
      <c r="K400" s="784"/>
      <c r="L400" s="804"/>
      <c r="M400" s="784">
        <f t="shared" si="27"/>
        <v>0</v>
      </c>
      <c r="N400" s="804"/>
      <c r="O400" s="784">
        <f t="shared" si="28"/>
        <v>0</v>
      </c>
      <c r="P400" s="784">
        <f t="shared" si="29"/>
        <v>0</v>
      </c>
    </row>
    <row r="401" spans="3:16" ht="12.75">
      <c r="C401" s="780">
        <f>IF(D350="","-",+C400+1)</f>
        <v>2060</v>
      </c>
      <c r="D401" s="728">
        <f t="shared" si="30"/>
        <v>17273334</v>
      </c>
      <c r="E401" s="781">
        <f t="shared" si="32"/>
        <v>885812</v>
      </c>
      <c r="F401" s="781">
        <f t="shared" si="26"/>
        <v>16387522</v>
      </c>
      <c r="G401" s="728">
        <f t="shared" si="31"/>
        <v>16830428</v>
      </c>
      <c r="H401" s="786">
        <f>+J351*G401+E401</f>
        <v>2760271.394495436</v>
      </c>
      <c r="I401" s="787">
        <f>+J352*G401+E401</f>
        <v>2760271.394495436</v>
      </c>
      <c r="J401" s="784">
        <f t="shared" si="33"/>
        <v>0</v>
      </c>
      <c r="K401" s="784"/>
      <c r="L401" s="804"/>
      <c r="M401" s="784">
        <f t="shared" si="27"/>
        <v>0</v>
      </c>
      <c r="N401" s="804"/>
      <c r="O401" s="784">
        <f t="shared" si="28"/>
        <v>0</v>
      </c>
      <c r="P401" s="784">
        <f t="shared" si="29"/>
        <v>0</v>
      </c>
    </row>
    <row r="402" spans="3:16" ht="12.75">
      <c r="C402" s="780">
        <f>IF(D350="","-",+C401+1)</f>
        <v>2061</v>
      </c>
      <c r="D402" s="728">
        <f t="shared" si="30"/>
        <v>16387522</v>
      </c>
      <c r="E402" s="781">
        <f t="shared" si="32"/>
        <v>885812</v>
      </c>
      <c r="F402" s="781">
        <f t="shared" si="26"/>
        <v>15501710</v>
      </c>
      <c r="G402" s="728">
        <f t="shared" si="31"/>
        <v>15944616</v>
      </c>
      <c r="H402" s="786">
        <f>+J351*G402+E402</f>
        <v>2661615.6368904132</v>
      </c>
      <c r="I402" s="787">
        <f>+J352*G402+E402</f>
        <v>2661615.6368904132</v>
      </c>
      <c r="J402" s="784">
        <f t="shared" si="33"/>
        <v>0</v>
      </c>
      <c r="K402" s="784"/>
      <c r="L402" s="804"/>
      <c r="M402" s="784">
        <f t="shared" si="27"/>
        <v>0</v>
      </c>
      <c r="N402" s="804"/>
      <c r="O402" s="784">
        <f t="shared" si="28"/>
        <v>0</v>
      </c>
      <c r="P402" s="784">
        <f t="shared" si="29"/>
        <v>0</v>
      </c>
    </row>
    <row r="403" spans="3:16" ht="12.75">
      <c r="C403" s="780">
        <f>IF(D350="","-",+C402+1)</f>
        <v>2062</v>
      </c>
      <c r="D403" s="728">
        <f t="shared" si="30"/>
        <v>15501710</v>
      </c>
      <c r="E403" s="781">
        <f t="shared" si="32"/>
        <v>885812</v>
      </c>
      <c r="F403" s="781">
        <f t="shared" si="26"/>
        <v>14615898</v>
      </c>
      <c r="G403" s="728">
        <f t="shared" si="31"/>
        <v>15058804</v>
      </c>
      <c r="H403" s="786">
        <f>+J351*G403+E403</f>
        <v>2562959.8792853905</v>
      </c>
      <c r="I403" s="787">
        <f>+J352*G403+E403</f>
        <v>2562959.8792853905</v>
      </c>
      <c r="J403" s="784">
        <f t="shared" si="33"/>
        <v>0</v>
      </c>
      <c r="K403" s="784"/>
      <c r="L403" s="804"/>
      <c r="M403" s="784">
        <f t="shared" si="27"/>
        <v>0</v>
      </c>
      <c r="N403" s="804"/>
      <c r="O403" s="784">
        <f t="shared" si="28"/>
        <v>0</v>
      </c>
      <c r="P403" s="784">
        <f t="shared" si="29"/>
        <v>0</v>
      </c>
    </row>
    <row r="404" spans="3:16" ht="12.75">
      <c r="C404" s="780">
        <f>IF(D350="","-",+C403+1)</f>
        <v>2063</v>
      </c>
      <c r="D404" s="728">
        <f t="shared" si="30"/>
        <v>14615898</v>
      </c>
      <c r="E404" s="781">
        <f t="shared" si="32"/>
        <v>885812</v>
      </c>
      <c r="F404" s="781">
        <f t="shared" si="26"/>
        <v>13730086</v>
      </c>
      <c r="G404" s="728">
        <f t="shared" si="31"/>
        <v>14172992</v>
      </c>
      <c r="H404" s="786">
        <f>+J351*G404+E404</f>
        <v>2464304.1216803673</v>
      </c>
      <c r="I404" s="787">
        <f>+J352*G404+E404</f>
        <v>2464304.1216803673</v>
      </c>
      <c r="J404" s="784">
        <f t="shared" si="33"/>
        <v>0</v>
      </c>
      <c r="K404" s="784"/>
      <c r="L404" s="804"/>
      <c r="M404" s="784">
        <f t="shared" si="27"/>
        <v>0</v>
      </c>
      <c r="N404" s="804"/>
      <c r="O404" s="784">
        <f t="shared" si="28"/>
        <v>0</v>
      </c>
      <c r="P404" s="784">
        <f t="shared" si="29"/>
        <v>0</v>
      </c>
    </row>
    <row r="405" spans="3:16" ht="12.75">
      <c r="C405" s="780">
        <f>IF(D350="","-",+C404+1)</f>
        <v>2064</v>
      </c>
      <c r="D405" s="728">
        <f t="shared" si="30"/>
        <v>13730086</v>
      </c>
      <c r="E405" s="781">
        <f t="shared" si="32"/>
        <v>885812</v>
      </c>
      <c r="F405" s="781">
        <f t="shared" si="26"/>
        <v>12844274</v>
      </c>
      <c r="G405" s="728">
        <f t="shared" si="31"/>
        <v>13287180</v>
      </c>
      <c r="H405" s="786">
        <f>+J351*G405+E405</f>
        <v>2365648.364075344</v>
      </c>
      <c r="I405" s="787">
        <f>+J352*G405+E405</f>
        <v>2365648.364075344</v>
      </c>
      <c r="J405" s="784">
        <f t="shared" si="33"/>
        <v>0</v>
      </c>
      <c r="K405" s="784"/>
      <c r="L405" s="804"/>
      <c r="M405" s="784">
        <f t="shared" si="27"/>
        <v>0</v>
      </c>
      <c r="N405" s="804"/>
      <c r="O405" s="784">
        <f t="shared" si="28"/>
        <v>0</v>
      </c>
      <c r="P405" s="784">
        <f t="shared" si="29"/>
        <v>0</v>
      </c>
    </row>
    <row r="406" spans="3:16" ht="12.75">
      <c r="C406" s="780">
        <f>IF(D350="","-",+C405+1)</f>
        <v>2065</v>
      </c>
      <c r="D406" s="728">
        <f t="shared" si="30"/>
        <v>12844274</v>
      </c>
      <c r="E406" s="781">
        <f t="shared" si="32"/>
        <v>885812</v>
      </c>
      <c r="F406" s="781">
        <f t="shared" si="26"/>
        <v>11958462</v>
      </c>
      <c r="G406" s="728">
        <f t="shared" si="31"/>
        <v>12401368</v>
      </c>
      <c r="H406" s="786">
        <f>+J351*G406+E406</f>
        <v>2266992.6064703213</v>
      </c>
      <c r="I406" s="787">
        <f>+J352*G406+E406</f>
        <v>2266992.6064703213</v>
      </c>
      <c r="J406" s="784">
        <f t="shared" si="33"/>
        <v>0</v>
      </c>
      <c r="K406" s="784"/>
      <c r="L406" s="804"/>
      <c r="M406" s="784">
        <f t="shared" si="27"/>
        <v>0</v>
      </c>
      <c r="N406" s="804"/>
      <c r="O406" s="784">
        <f t="shared" si="28"/>
        <v>0</v>
      </c>
      <c r="P406" s="784">
        <f t="shared" si="29"/>
        <v>0</v>
      </c>
    </row>
    <row r="407" spans="3:16" ht="12.75">
      <c r="C407" s="780">
        <f>IF(D350="","-",+C406+1)</f>
        <v>2066</v>
      </c>
      <c r="D407" s="728">
        <f t="shared" si="30"/>
        <v>11958462</v>
      </c>
      <c r="E407" s="781">
        <f t="shared" si="32"/>
        <v>885812</v>
      </c>
      <c r="F407" s="781">
        <f t="shared" si="26"/>
        <v>11072650</v>
      </c>
      <c r="G407" s="728">
        <f t="shared" si="31"/>
        <v>11515556</v>
      </c>
      <c r="H407" s="786">
        <f>+J351*G407+E407</f>
        <v>2168336.8488652986</v>
      </c>
      <c r="I407" s="787">
        <f>+J352*G407+E407</f>
        <v>2168336.8488652986</v>
      </c>
      <c r="J407" s="784">
        <f t="shared" si="33"/>
        <v>0</v>
      </c>
      <c r="K407" s="784"/>
      <c r="L407" s="804"/>
      <c r="M407" s="784">
        <f t="shared" si="27"/>
        <v>0</v>
      </c>
      <c r="N407" s="804"/>
      <c r="O407" s="784">
        <f t="shared" si="28"/>
        <v>0</v>
      </c>
      <c r="P407" s="784">
        <f t="shared" si="29"/>
        <v>0</v>
      </c>
    </row>
    <row r="408" spans="3:16" ht="12.75">
      <c r="C408" s="780">
        <f>IF(D350="","-",+C407+1)</f>
        <v>2067</v>
      </c>
      <c r="D408" s="728">
        <f t="shared" si="30"/>
        <v>11072650</v>
      </c>
      <c r="E408" s="781">
        <f t="shared" si="32"/>
        <v>885812</v>
      </c>
      <c r="F408" s="781">
        <f t="shared" si="26"/>
        <v>10186838</v>
      </c>
      <c r="G408" s="728">
        <f t="shared" si="31"/>
        <v>10629744</v>
      </c>
      <c r="H408" s="786">
        <f>+J351*G408+E408</f>
        <v>2069681.0912602756</v>
      </c>
      <c r="I408" s="787">
        <f>+J352*G408+E408</f>
        <v>2069681.0912602756</v>
      </c>
      <c r="J408" s="784">
        <f t="shared" si="33"/>
        <v>0</v>
      </c>
      <c r="K408" s="784"/>
      <c r="L408" s="804"/>
      <c r="M408" s="784">
        <f t="shared" si="27"/>
        <v>0</v>
      </c>
      <c r="N408" s="804"/>
      <c r="O408" s="784">
        <f t="shared" si="28"/>
        <v>0</v>
      </c>
      <c r="P408" s="784">
        <f t="shared" si="29"/>
        <v>0</v>
      </c>
    </row>
    <row r="409" spans="3:16" ht="12.75">
      <c r="C409" s="780">
        <f>IF(D350="","-",+C408+1)</f>
        <v>2068</v>
      </c>
      <c r="D409" s="728">
        <f t="shared" si="30"/>
        <v>10186838</v>
      </c>
      <c r="E409" s="781">
        <f t="shared" si="32"/>
        <v>885812</v>
      </c>
      <c r="F409" s="781">
        <f t="shared" si="26"/>
        <v>9301026</v>
      </c>
      <c r="G409" s="728">
        <f t="shared" si="31"/>
        <v>9743932</v>
      </c>
      <c r="H409" s="786">
        <f>+J351*G409+E409</f>
        <v>1971025.3336552526</v>
      </c>
      <c r="I409" s="787">
        <f>+J352*G409+E409</f>
        <v>1971025.3336552526</v>
      </c>
      <c r="J409" s="784">
        <f t="shared" si="33"/>
        <v>0</v>
      </c>
      <c r="K409" s="784"/>
      <c r="L409" s="804"/>
      <c r="M409" s="784">
        <f t="shared" si="27"/>
        <v>0</v>
      </c>
      <c r="N409" s="804"/>
      <c r="O409" s="784">
        <f t="shared" si="28"/>
        <v>0</v>
      </c>
      <c r="P409" s="784">
        <f t="shared" si="29"/>
        <v>0</v>
      </c>
    </row>
    <row r="410" spans="3:16" ht="12.75">
      <c r="C410" s="780">
        <f>IF(D350="","-",+C409+1)</f>
        <v>2069</v>
      </c>
      <c r="D410" s="728">
        <f aca="true" t="shared" si="34" ref="D410:D415">F409</f>
        <v>9301026</v>
      </c>
      <c r="E410" s="781">
        <f t="shared" si="32"/>
        <v>885812</v>
      </c>
      <c r="F410" s="781">
        <f t="shared" si="26"/>
        <v>8415214</v>
      </c>
      <c r="G410" s="728">
        <f t="shared" si="31"/>
        <v>8858120</v>
      </c>
      <c r="H410" s="786">
        <f>+J351*G410+E410</f>
        <v>1872369.5760502296</v>
      </c>
      <c r="I410" s="787">
        <f>+J352*G410+E410</f>
        <v>1872369.5760502296</v>
      </c>
      <c r="J410" s="784">
        <f t="shared" si="33"/>
        <v>0</v>
      </c>
      <c r="K410" s="784"/>
      <c r="L410" s="804"/>
      <c r="M410" s="784">
        <f t="shared" si="27"/>
        <v>0</v>
      </c>
      <c r="N410" s="804"/>
      <c r="O410" s="784">
        <f t="shared" si="28"/>
        <v>0</v>
      </c>
      <c r="P410" s="784">
        <f t="shared" si="29"/>
        <v>0</v>
      </c>
    </row>
    <row r="411" spans="3:16" ht="12.75">
      <c r="C411" s="780">
        <f>IF(D350="","-",+C410+1)</f>
        <v>2070</v>
      </c>
      <c r="D411" s="728">
        <f t="shared" si="34"/>
        <v>8415214</v>
      </c>
      <c r="E411" s="781">
        <f t="shared" si="32"/>
        <v>885812</v>
      </c>
      <c r="F411" s="781">
        <f t="shared" si="26"/>
        <v>7529402</v>
      </c>
      <c r="G411" s="728">
        <f t="shared" si="31"/>
        <v>7972308</v>
      </c>
      <c r="H411" s="786">
        <f>+J351*G411+E411</f>
        <v>1773713.8184452066</v>
      </c>
      <c r="I411" s="787">
        <f>+J352*G411+E411</f>
        <v>1773713.8184452066</v>
      </c>
      <c r="J411" s="784">
        <f t="shared" si="33"/>
        <v>0</v>
      </c>
      <c r="K411" s="784"/>
      <c r="L411" s="804"/>
      <c r="M411" s="784">
        <f t="shared" si="27"/>
        <v>0</v>
      </c>
      <c r="N411" s="804"/>
      <c r="O411" s="784">
        <f t="shared" si="28"/>
        <v>0</v>
      </c>
      <c r="P411" s="784">
        <f t="shared" si="29"/>
        <v>0</v>
      </c>
    </row>
    <row r="412" spans="3:16" ht="12.75">
      <c r="C412" s="780">
        <f>IF(D350="","-",+C411+1)</f>
        <v>2071</v>
      </c>
      <c r="D412" s="728">
        <f t="shared" si="34"/>
        <v>7529402</v>
      </c>
      <c r="E412" s="781">
        <f t="shared" si="32"/>
        <v>885812</v>
      </c>
      <c r="F412" s="781">
        <f t="shared" si="26"/>
        <v>6643590</v>
      </c>
      <c r="G412" s="728">
        <f t="shared" si="31"/>
        <v>7086496</v>
      </c>
      <c r="H412" s="786">
        <f>+J351*G412+E412</f>
        <v>1675058.0608401836</v>
      </c>
      <c r="I412" s="787">
        <f>+J352*G412+E412</f>
        <v>1675058.0608401836</v>
      </c>
      <c r="J412" s="784">
        <f t="shared" si="33"/>
        <v>0</v>
      </c>
      <c r="K412" s="784"/>
      <c r="L412" s="804"/>
      <c r="M412" s="784">
        <f t="shared" si="27"/>
        <v>0</v>
      </c>
      <c r="N412" s="804"/>
      <c r="O412" s="784">
        <f t="shared" si="28"/>
        <v>0</v>
      </c>
      <c r="P412" s="784">
        <f t="shared" si="29"/>
        <v>0</v>
      </c>
    </row>
    <row r="413" spans="3:16" ht="12.75">
      <c r="C413" s="780">
        <f>IF(D350="","-",+C412+1)</f>
        <v>2072</v>
      </c>
      <c r="D413" s="728">
        <f t="shared" si="34"/>
        <v>6643590</v>
      </c>
      <c r="E413" s="781">
        <f t="shared" si="32"/>
        <v>885812</v>
      </c>
      <c r="F413" s="781">
        <f t="shared" si="26"/>
        <v>5757778</v>
      </c>
      <c r="G413" s="728">
        <f t="shared" si="31"/>
        <v>6200684</v>
      </c>
      <c r="H413" s="786">
        <f>+J351*G413+E413</f>
        <v>1576402.3032351607</v>
      </c>
      <c r="I413" s="787">
        <f>+J352*G413+E413</f>
        <v>1576402.3032351607</v>
      </c>
      <c r="J413" s="784">
        <f t="shared" si="33"/>
        <v>0</v>
      </c>
      <c r="K413" s="784"/>
      <c r="L413" s="804"/>
      <c r="M413" s="784">
        <f t="shared" si="27"/>
        <v>0</v>
      </c>
      <c r="N413" s="804"/>
      <c r="O413" s="784">
        <f t="shared" si="28"/>
        <v>0</v>
      </c>
      <c r="P413" s="784">
        <f t="shared" si="29"/>
        <v>0</v>
      </c>
    </row>
    <row r="414" spans="3:16" ht="12.75">
      <c r="C414" s="780">
        <f>IF(D350="","-",+C413+1)</f>
        <v>2073</v>
      </c>
      <c r="D414" s="728">
        <f t="shared" si="34"/>
        <v>5757778</v>
      </c>
      <c r="E414" s="781">
        <f t="shared" si="32"/>
        <v>885812</v>
      </c>
      <c r="F414" s="781">
        <f t="shared" si="26"/>
        <v>4871966</v>
      </c>
      <c r="G414" s="728">
        <f t="shared" si="31"/>
        <v>5314872</v>
      </c>
      <c r="H414" s="786">
        <f>+J351*G414+E414</f>
        <v>1477746.545630138</v>
      </c>
      <c r="I414" s="787">
        <f>+J352*G414+E414</f>
        <v>1477746.545630138</v>
      </c>
      <c r="J414" s="784">
        <f t="shared" si="33"/>
        <v>0</v>
      </c>
      <c r="K414" s="784"/>
      <c r="L414" s="804"/>
      <c r="M414" s="784">
        <f t="shared" si="27"/>
        <v>0</v>
      </c>
      <c r="N414" s="804"/>
      <c r="O414" s="784">
        <f t="shared" si="28"/>
        <v>0</v>
      </c>
      <c r="P414" s="784">
        <f t="shared" si="29"/>
        <v>0</v>
      </c>
    </row>
    <row r="415" spans="3:16" ht="13.5" thickBot="1">
      <c r="C415" s="790">
        <f>IF(D350="","-",+C414+1)</f>
        <v>2074</v>
      </c>
      <c r="D415" s="791">
        <f t="shared" si="34"/>
        <v>4871966</v>
      </c>
      <c r="E415" s="781">
        <f t="shared" si="32"/>
        <v>885812</v>
      </c>
      <c r="F415" s="792">
        <f t="shared" si="26"/>
        <v>3986154</v>
      </c>
      <c r="G415" s="791">
        <f t="shared" si="31"/>
        <v>4429060</v>
      </c>
      <c r="H415" s="793">
        <f>+J351*G415+E415</f>
        <v>1379090.7880251147</v>
      </c>
      <c r="I415" s="793">
        <f>+J352*G415+E415</f>
        <v>1379090.7880251147</v>
      </c>
      <c r="J415" s="794">
        <f t="shared" si="33"/>
        <v>0</v>
      </c>
      <c r="K415" s="784"/>
      <c r="L415" s="805"/>
      <c r="M415" s="794">
        <f t="shared" si="27"/>
        <v>0</v>
      </c>
      <c r="N415" s="805"/>
      <c r="O415" s="794">
        <f t="shared" si="28"/>
        <v>0</v>
      </c>
      <c r="P415" s="794">
        <f t="shared" si="29"/>
        <v>0</v>
      </c>
    </row>
    <row r="416" spans="3:15" ht="12.75">
      <c r="C416" s="728" t="s">
        <v>92</v>
      </c>
      <c r="D416" s="722"/>
      <c r="E416" s="722">
        <f>SUM(E356:E415)</f>
        <v>52705814</v>
      </c>
      <c r="F416" s="722"/>
      <c r="G416" s="722"/>
      <c r="H416" s="722">
        <f>SUM(H356:H415)</f>
        <v>256898568.30299628</v>
      </c>
      <c r="I416" s="722">
        <f>SUM(I356:I415)</f>
        <v>256898568.30299628</v>
      </c>
      <c r="J416" s="722">
        <f>SUM(J356:J415)</f>
        <v>0</v>
      </c>
      <c r="K416" s="722"/>
      <c r="L416" s="722"/>
      <c r="M416" s="722"/>
      <c r="N416" s="722"/>
      <c r="O416" s="722"/>
    </row>
    <row r="417" spans="4:15" ht="12.75">
      <c r="D417" s="532"/>
      <c r="E417" s="308"/>
      <c r="F417" s="308"/>
      <c r="G417" s="308"/>
      <c r="H417" s="308"/>
      <c r="I417" s="701"/>
      <c r="J417" s="701"/>
      <c r="K417" s="722"/>
      <c r="L417" s="701"/>
      <c r="M417" s="701"/>
      <c r="N417" s="701"/>
      <c r="O417" s="701"/>
    </row>
    <row r="418" spans="3:15" ht="12.75">
      <c r="C418" s="308" t="s">
        <v>14</v>
      </c>
      <c r="D418" s="532"/>
      <c r="E418" s="308"/>
      <c r="F418" s="308"/>
      <c r="G418" s="308"/>
      <c r="H418" s="308"/>
      <c r="I418" s="701"/>
      <c r="J418" s="701"/>
      <c r="K418" s="722"/>
      <c r="L418" s="701"/>
      <c r="M418" s="701"/>
      <c r="N418" s="701"/>
      <c r="O418" s="701"/>
    </row>
    <row r="419" spans="3:15" ht="12.75">
      <c r="C419" s="308"/>
      <c r="D419" s="532"/>
      <c r="E419" s="308"/>
      <c r="F419" s="308"/>
      <c r="G419" s="308"/>
      <c r="H419" s="308"/>
      <c r="I419" s="701"/>
      <c r="J419" s="701"/>
      <c r="K419" s="722"/>
      <c r="L419" s="701"/>
      <c r="M419" s="701"/>
      <c r="N419" s="701"/>
      <c r="O419" s="701"/>
    </row>
    <row r="420" spans="3:15" ht="12.75">
      <c r="C420" s="741" t="s">
        <v>15</v>
      </c>
      <c r="D420" s="728"/>
      <c r="E420" s="728"/>
      <c r="F420" s="728"/>
      <c r="G420" s="728"/>
      <c r="H420" s="722"/>
      <c r="I420" s="722"/>
      <c r="J420" s="796"/>
      <c r="K420" s="796"/>
      <c r="L420" s="796"/>
      <c r="M420" s="796"/>
      <c r="N420" s="796"/>
      <c r="O420" s="796"/>
    </row>
    <row r="421" spans="3:15" ht="12.75">
      <c r="C421" s="727" t="s">
        <v>272</v>
      </c>
      <c r="D421" s="728"/>
      <c r="E421" s="728"/>
      <c r="F421" s="728"/>
      <c r="G421" s="728"/>
      <c r="H421" s="722"/>
      <c r="I421" s="722"/>
      <c r="J421" s="796"/>
      <c r="K421" s="796"/>
      <c r="L421" s="796"/>
      <c r="M421" s="796"/>
      <c r="N421" s="796"/>
      <c r="O421" s="796"/>
    </row>
    <row r="422" spans="3:15" ht="12.75">
      <c r="C422" s="727" t="s">
        <v>93</v>
      </c>
      <c r="D422" s="728"/>
      <c r="E422" s="728"/>
      <c r="F422" s="728"/>
      <c r="G422" s="728"/>
      <c r="H422" s="722"/>
      <c r="I422" s="722"/>
      <c r="J422" s="796"/>
      <c r="K422" s="796"/>
      <c r="L422" s="796"/>
      <c r="M422" s="796"/>
      <c r="N422" s="796"/>
      <c r="O422" s="796"/>
    </row>
    <row r="423" spans="1:17" ht="20.25">
      <c r="A423" s="729" t="str">
        <f>""&amp;A348&amp;" Worksheet K -  ATRR TRUE-UP Calculation for PJM Projects Charged to Benefiting Zones"</f>
        <v> Worksheet K -  ATRR TRUE-UP Calculation for PJM Projects Charged to Benefiting Zones</v>
      </c>
      <c r="B423" s="341"/>
      <c r="C423" s="717"/>
      <c r="D423" s="532"/>
      <c r="E423" s="308"/>
      <c r="F423" s="700"/>
      <c r="G423" s="700"/>
      <c r="H423" s="308"/>
      <c r="I423" s="701"/>
      <c r="L423" s="557"/>
      <c r="M423" s="557"/>
      <c r="N423" s="557"/>
      <c r="O423" s="646" t="str">
        <f>"Page "&amp;SUM(Q$6:Q423)&amp;" of "</f>
        <v>Page 6 of </v>
      </c>
      <c r="P423" s="647">
        <f>COUNT(Q$6:Q$58387)</f>
        <v>12</v>
      </c>
      <c r="Q423" s="730">
        <v>1</v>
      </c>
    </row>
    <row r="424" spans="2:11" ht="12.75">
      <c r="B424" s="341"/>
      <c r="C424" s="308"/>
      <c r="D424" s="532"/>
      <c r="E424" s="308"/>
      <c r="F424" s="308"/>
      <c r="G424" s="308"/>
      <c r="H424" s="308"/>
      <c r="I424" s="701"/>
      <c r="J424" s="308"/>
      <c r="K424" s="420"/>
    </row>
    <row r="425" spans="2:17" ht="18">
      <c r="B425" s="650" t="s">
        <v>475</v>
      </c>
      <c r="C425" s="731" t="s">
        <v>94</v>
      </c>
      <c r="D425" s="532"/>
      <c r="E425" s="308"/>
      <c r="F425" s="308"/>
      <c r="G425" s="308"/>
      <c r="H425" s="308"/>
      <c r="I425" s="701"/>
      <c r="J425" s="701"/>
      <c r="K425" s="722"/>
      <c r="L425" s="701"/>
      <c r="M425" s="701"/>
      <c r="N425" s="701"/>
      <c r="O425" s="701"/>
      <c r="Q425" s="420"/>
    </row>
    <row r="426" spans="2:15" ht="18.75">
      <c r="B426" s="650"/>
      <c r="C426" s="649"/>
      <c r="D426" s="532"/>
      <c r="E426" s="308"/>
      <c r="F426" s="308"/>
      <c r="G426" s="308"/>
      <c r="H426" s="308"/>
      <c r="I426" s="701"/>
      <c r="J426" s="701"/>
      <c r="K426" s="722"/>
      <c r="L426" s="701"/>
      <c r="M426" s="701"/>
      <c r="N426" s="701"/>
      <c r="O426" s="701"/>
    </row>
    <row r="427" spans="2:15" ht="18.75">
      <c r="B427" s="650"/>
      <c r="C427" s="649" t="s">
        <v>95</v>
      </c>
      <c r="D427" s="532"/>
      <c r="E427" s="308"/>
      <c r="F427" s="308"/>
      <c r="G427" s="308"/>
      <c r="H427" s="308"/>
      <c r="I427" s="701"/>
      <c r="J427" s="701"/>
      <c r="K427" s="722"/>
      <c r="L427" s="701"/>
      <c r="M427" s="701"/>
      <c r="N427" s="701"/>
      <c r="O427" s="701"/>
    </row>
    <row r="428" spans="3:15" ht="15.75" thickBot="1">
      <c r="C428" s="236"/>
      <c r="D428" s="532"/>
      <c r="E428" s="308"/>
      <c r="F428" s="308"/>
      <c r="G428" s="308"/>
      <c r="H428" s="308"/>
      <c r="I428" s="701"/>
      <c r="J428" s="701"/>
      <c r="K428" s="722"/>
      <c r="L428" s="701"/>
      <c r="M428" s="701"/>
      <c r="N428" s="701"/>
      <c r="O428" s="701"/>
    </row>
    <row r="429" spans="3:15" ht="15.75">
      <c r="C429" s="652" t="s">
        <v>96</v>
      </c>
      <c r="D429" s="532"/>
      <c r="E429" s="308"/>
      <c r="F429" s="308"/>
      <c r="G429" s="308"/>
      <c r="H429" s="798"/>
      <c r="I429" s="308" t="s">
        <v>75</v>
      </c>
      <c r="J429" s="308"/>
      <c r="K429" s="420"/>
      <c r="L429" s="827">
        <f>+J435</f>
        <v>2017</v>
      </c>
      <c r="M429" s="808" t="s">
        <v>53</v>
      </c>
      <c r="N429" s="808" t="s">
        <v>54</v>
      </c>
      <c r="O429" s="809" t="s">
        <v>56</v>
      </c>
    </row>
    <row r="430" spans="3:15" ht="15.75">
      <c r="C430" s="652"/>
      <c r="D430" s="532"/>
      <c r="E430" s="308"/>
      <c r="F430" s="308"/>
      <c r="H430" s="308"/>
      <c r="I430" s="736"/>
      <c r="J430" s="736"/>
      <c r="K430" s="737"/>
      <c r="L430" s="828" t="s">
        <v>244</v>
      </c>
      <c r="M430" s="829">
        <f>VLOOKUP(J435,C442:P501,10)</f>
        <v>2745014</v>
      </c>
      <c r="N430" s="829">
        <f>VLOOKUP(J435,C442:P501,12)</f>
        <v>2745014</v>
      </c>
      <c r="O430" s="830">
        <f>+N430-M430</f>
        <v>0</v>
      </c>
    </row>
    <row r="431" spans="3:15" ht="12.75" customHeight="1">
      <c r="C431" s="741" t="s">
        <v>97</v>
      </c>
      <c r="D431" s="1472" t="s">
        <v>918</v>
      </c>
      <c r="E431" s="1472"/>
      <c r="F431" s="1472"/>
      <c r="G431" s="1472"/>
      <c r="H431" s="1472"/>
      <c r="I431" s="1472"/>
      <c r="J431" s="1472"/>
      <c r="K431" s="722"/>
      <c r="L431" s="828" t="s">
        <v>245</v>
      </c>
      <c r="M431" s="831">
        <f>VLOOKUP(J435,C442:P501,6)</f>
        <v>2706234.298536864</v>
      </c>
      <c r="N431" s="831">
        <f>VLOOKUP(J435,C442:P501,7)</f>
        <v>2706234.298536864</v>
      </c>
      <c r="O431" s="832">
        <f>+N431-M431</f>
        <v>0</v>
      </c>
    </row>
    <row r="432" spans="3:15" ht="13.5" thickBot="1">
      <c r="C432" s="745"/>
      <c r="D432" s="1472"/>
      <c r="E432" s="1472"/>
      <c r="F432" s="1472"/>
      <c r="G432" s="1472"/>
      <c r="H432" s="1472"/>
      <c r="I432" s="1472"/>
      <c r="J432" s="1472"/>
      <c r="K432" s="722"/>
      <c r="L432" s="764" t="s">
        <v>246</v>
      </c>
      <c r="M432" s="833">
        <f>+M431-M430</f>
        <v>-38779.70146313589</v>
      </c>
      <c r="N432" s="833">
        <f>+N431-N430</f>
        <v>-38779.70146313589</v>
      </c>
      <c r="O432" s="834">
        <f>+O431-O430</f>
        <v>0</v>
      </c>
    </row>
    <row r="433" spans="3:16" ht="13.5" thickBot="1">
      <c r="C433" s="748"/>
      <c r="D433" s="749"/>
      <c r="E433" s="747"/>
      <c r="F433" s="747"/>
      <c r="G433" s="747"/>
      <c r="H433" s="747"/>
      <c r="I433" s="747"/>
      <c r="J433" s="747"/>
      <c r="K433" s="750"/>
      <c r="L433" s="747"/>
      <c r="M433" s="747"/>
      <c r="N433" s="747"/>
      <c r="O433" s="747"/>
      <c r="P433" s="341"/>
    </row>
    <row r="434" spans="3:16" ht="13.5" thickBot="1">
      <c r="C434" s="751" t="s">
        <v>98</v>
      </c>
      <c r="D434" s="752"/>
      <c r="E434" s="752"/>
      <c r="F434" s="752"/>
      <c r="G434" s="752"/>
      <c r="H434" s="752"/>
      <c r="I434" s="752"/>
      <c r="J434" s="752"/>
      <c r="K434" s="754"/>
      <c r="P434" s="755"/>
    </row>
    <row r="435" spans="3:16" ht="15">
      <c r="C435" s="756" t="s">
        <v>76</v>
      </c>
      <c r="D435" s="1368">
        <v>21756405</v>
      </c>
      <c r="E435" s="717" t="s">
        <v>77</v>
      </c>
      <c r="H435" s="757"/>
      <c r="I435" s="757"/>
      <c r="J435" s="758">
        <v>2017</v>
      </c>
      <c r="K435" s="548"/>
      <c r="L435" s="1462" t="s">
        <v>78</v>
      </c>
      <c r="M435" s="1462"/>
      <c r="N435" s="1462"/>
      <c r="O435" s="1462"/>
      <c r="P435" s="420"/>
    </row>
    <row r="436" spans="3:16" ht="12.75">
      <c r="C436" s="756" t="s">
        <v>79</v>
      </c>
      <c r="D436" s="1369">
        <v>2015</v>
      </c>
      <c r="E436" s="756" t="s">
        <v>80</v>
      </c>
      <c r="F436" s="757"/>
      <c r="G436" s="757"/>
      <c r="I436" s="169"/>
      <c r="J436" s="802">
        <f>IF(H429="",0,$F$15)</f>
        <v>0</v>
      </c>
      <c r="K436" s="759"/>
      <c r="L436" s="722" t="s">
        <v>286</v>
      </c>
      <c r="P436" s="420"/>
    </row>
    <row r="437" spans="3:16" ht="12.75">
      <c r="C437" s="756" t="s">
        <v>81</v>
      </c>
      <c r="D437" s="1368">
        <v>12</v>
      </c>
      <c r="E437" s="756" t="s">
        <v>82</v>
      </c>
      <c r="F437" s="757"/>
      <c r="G437" s="757"/>
      <c r="I437" s="169"/>
      <c r="J437" s="760">
        <f>$F$68</f>
        <v>0.11137324579597359</v>
      </c>
      <c r="K437" s="761"/>
      <c r="L437" s="308" t="str">
        <f>"          INPUT TRUE-UP ARR (WITH &amp; WITHOUT INCENTIVES) FROM EACH PRIOR YEAR"</f>
        <v>          INPUT TRUE-UP ARR (WITH &amp; WITHOUT INCENTIVES) FROM EACH PRIOR YEAR</v>
      </c>
      <c r="P437" s="420"/>
    </row>
    <row r="438" spans="3:16" ht="12.75">
      <c r="C438" s="756" t="s">
        <v>83</v>
      </c>
      <c r="D438" s="762">
        <f>H$77</f>
        <v>64</v>
      </c>
      <c r="E438" s="756" t="s">
        <v>84</v>
      </c>
      <c r="F438" s="757"/>
      <c r="G438" s="757"/>
      <c r="I438" s="169"/>
      <c r="J438" s="760">
        <f>IF(H429="",+J437,$F$67)</f>
        <v>0.11137324579597359</v>
      </c>
      <c r="K438" s="763"/>
      <c r="L438" s="308" t="s">
        <v>166</v>
      </c>
      <c r="M438" s="763"/>
      <c r="N438" s="763"/>
      <c r="O438" s="763"/>
      <c r="P438" s="420"/>
    </row>
    <row r="439" spans="3:16" ht="13.5" thickBot="1">
      <c r="C439" s="756" t="s">
        <v>85</v>
      </c>
      <c r="D439" s="799" t="s">
        <v>877</v>
      </c>
      <c r="E439" s="764" t="s">
        <v>86</v>
      </c>
      <c r="F439" s="765"/>
      <c r="G439" s="765"/>
      <c r="H439" s="766"/>
      <c r="I439" s="766"/>
      <c r="J439" s="744">
        <f>IF(D435=0,0,D435/D438)</f>
        <v>339943.828125</v>
      </c>
      <c r="K439" s="722"/>
      <c r="L439" s="722" t="s">
        <v>167</v>
      </c>
      <c r="M439" s="722"/>
      <c r="N439" s="722"/>
      <c r="O439" s="722"/>
      <c r="P439" s="420"/>
    </row>
    <row r="440" spans="2:16" ht="38.25">
      <c r="B440" s="837"/>
      <c r="C440" s="767" t="s">
        <v>76</v>
      </c>
      <c r="D440" s="768" t="s">
        <v>87</v>
      </c>
      <c r="E440" s="769" t="s">
        <v>88</v>
      </c>
      <c r="F440" s="768" t="s">
        <v>89</v>
      </c>
      <c r="G440" s="768" t="s">
        <v>247</v>
      </c>
      <c r="H440" s="769" t="s">
        <v>160</v>
      </c>
      <c r="I440" s="770" t="s">
        <v>160</v>
      </c>
      <c r="J440" s="767" t="s">
        <v>99</v>
      </c>
      <c r="K440" s="771"/>
      <c r="L440" s="769" t="s">
        <v>162</v>
      </c>
      <c r="M440" s="769" t="s">
        <v>168</v>
      </c>
      <c r="N440" s="769" t="s">
        <v>162</v>
      </c>
      <c r="O440" s="769" t="s">
        <v>170</v>
      </c>
      <c r="P440" s="769" t="s">
        <v>90</v>
      </c>
    </row>
    <row r="441" spans="3:16" ht="13.5" thickBot="1">
      <c r="C441" s="773" t="s">
        <v>478</v>
      </c>
      <c r="D441" s="774" t="s">
        <v>479</v>
      </c>
      <c r="E441" s="773" t="s">
        <v>372</v>
      </c>
      <c r="F441" s="774" t="s">
        <v>479</v>
      </c>
      <c r="G441" s="774" t="s">
        <v>479</v>
      </c>
      <c r="H441" s="775" t="s">
        <v>102</v>
      </c>
      <c r="I441" s="776" t="s">
        <v>104</v>
      </c>
      <c r="J441" s="777" t="s">
        <v>16</v>
      </c>
      <c r="K441" s="778"/>
      <c r="L441" s="775" t="s">
        <v>91</v>
      </c>
      <c r="M441" s="775" t="s">
        <v>91</v>
      </c>
      <c r="N441" s="775" t="s">
        <v>264</v>
      </c>
      <c r="O441" s="775" t="s">
        <v>264</v>
      </c>
      <c r="P441" s="775" t="s">
        <v>264</v>
      </c>
    </row>
    <row r="442" spans="3:16" ht="12.75">
      <c r="C442" s="780">
        <f>IF(D436="","-",D436)</f>
        <v>2015</v>
      </c>
      <c r="D442" s="728">
        <f>+D435</f>
        <v>21756405</v>
      </c>
      <c r="E442" s="786">
        <f>+J439/12*(12-D437)</f>
        <v>0</v>
      </c>
      <c r="F442" s="835">
        <f aca="true" t="shared" si="35" ref="F442:F501">+D442-E442</f>
        <v>21756405</v>
      </c>
      <c r="G442" s="728">
        <f>+(D442+F442)/2</f>
        <v>21756405</v>
      </c>
      <c r="H442" s="782">
        <f>+J437*G442+E442</f>
        <v>2423081.441701749</v>
      </c>
      <c r="I442" s="783">
        <f>+J438*G442+E442</f>
        <v>2423081.441701749</v>
      </c>
      <c r="J442" s="784">
        <f>+I442-H442</f>
        <v>0</v>
      </c>
      <c r="K442" s="784"/>
      <c r="L442" s="803">
        <v>2348715</v>
      </c>
      <c r="M442" s="836">
        <f aca="true" t="shared" si="36" ref="M442:M501">IF(L442&lt;&gt;0,+H442-L442,0)</f>
        <v>74366.44170174887</v>
      </c>
      <c r="N442" s="803">
        <v>2348715</v>
      </c>
      <c r="O442" s="836">
        <f aca="true" t="shared" si="37" ref="O442:O501">IF(N442&lt;&gt;0,+I442-N442,0)</f>
        <v>74366.44170174887</v>
      </c>
      <c r="P442" s="836">
        <f aca="true" t="shared" si="38" ref="P442:P501">+O442-M442</f>
        <v>0</v>
      </c>
    </row>
    <row r="443" spans="3:16" ht="12.75">
      <c r="C443" s="1308">
        <f>IF(D436="","-",+C442+1)</f>
        <v>2016</v>
      </c>
      <c r="D443" s="728">
        <f aca="true" t="shared" si="39" ref="D443:D495">F442</f>
        <v>21756405</v>
      </c>
      <c r="E443" s="781">
        <f>IF(D443&gt;$J$439,$J$439,D443)</f>
        <v>339943.828125</v>
      </c>
      <c r="F443" s="781">
        <f t="shared" si="35"/>
        <v>21416461.171875</v>
      </c>
      <c r="G443" s="728">
        <f aca="true" t="shared" si="40" ref="G443:G501">+(D443+F443)/2</f>
        <v>21586433.0859375</v>
      </c>
      <c r="H443" s="786">
        <f>+J437*G443+E443</f>
        <v>2744094.946063454</v>
      </c>
      <c r="I443" s="787">
        <f>+J438*G443+E443</f>
        <v>2744094.946063454</v>
      </c>
      <c r="J443" s="784">
        <f>+I443-H443</f>
        <v>0</v>
      </c>
      <c r="K443" s="784"/>
      <c r="L443" s="804">
        <v>2575052</v>
      </c>
      <c r="M443" s="784">
        <f t="shared" si="36"/>
        <v>169042.9460634538</v>
      </c>
      <c r="N443" s="804">
        <v>2575052</v>
      </c>
      <c r="O443" s="784">
        <f t="shared" si="37"/>
        <v>169042.9460634538</v>
      </c>
      <c r="P443" s="784">
        <f t="shared" si="38"/>
        <v>0</v>
      </c>
    </row>
    <row r="444" spans="3:16" ht="12.75">
      <c r="C444" s="1370">
        <f>IF(D436="","-",+C443+1)</f>
        <v>2017</v>
      </c>
      <c r="D444" s="728">
        <f t="shared" si="39"/>
        <v>21416461.171875</v>
      </c>
      <c r="E444" s="781">
        <f aca="true" t="shared" si="41" ref="E444:E501">IF(D444&gt;$J$439,$J$439,D444)</f>
        <v>339943.828125</v>
      </c>
      <c r="F444" s="781">
        <f t="shared" si="35"/>
        <v>21076517.34375</v>
      </c>
      <c r="G444" s="728">
        <f t="shared" si="40"/>
        <v>21246489.2578125</v>
      </c>
      <c r="H444" s="786">
        <f>+J437*G444+E444</f>
        <v>2706234.298536864</v>
      </c>
      <c r="I444" s="787">
        <f>+J438*G444+E444</f>
        <v>2706234.298536864</v>
      </c>
      <c r="J444" s="784">
        <f aca="true" t="shared" si="42" ref="J444:J501">+I444-H444</f>
        <v>0</v>
      </c>
      <c r="K444" s="784"/>
      <c r="L444" s="804">
        <v>2745014</v>
      </c>
      <c r="M444" s="784">
        <f t="shared" si="36"/>
        <v>-38779.70146313589</v>
      </c>
      <c r="N444" s="804">
        <v>2745014</v>
      </c>
      <c r="O444" s="784">
        <f t="shared" si="37"/>
        <v>-38779.70146313589</v>
      </c>
      <c r="P444" s="784">
        <f t="shared" si="38"/>
        <v>0</v>
      </c>
    </row>
    <row r="445" spans="3:16" ht="12.75">
      <c r="C445" s="1308">
        <f>IF(D436="","-",+C444+1)</f>
        <v>2018</v>
      </c>
      <c r="D445" s="728">
        <f t="shared" si="39"/>
        <v>21076517.34375</v>
      </c>
      <c r="E445" s="781">
        <f t="shared" si="41"/>
        <v>339943.828125</v>
      </c>
      <c r="F445" s="781">
        <f t="shared" si="35"/>
        <v>20736573.515625</v>
      </c>
      <c r="G445" s="728">
        <f t="shared" si="40"/>
        <v>20906545.4296875</v>
      </c>
      <c r="H445" s="786">
        <f>+J437*G445+E445</f>
        <v>2668373.6510102744</v>
      </c>
      <c r="I445" s="787">
        <f>+J438*G445+E445</f>
        <v>2668373.6510102744</v>
      </c>
      <c r="J445" s="784">
        <f t="shared" si="42"/>
        <v>0</v>
      </c>
      <c r="K445" s="784"/>
      <c r="L445" s="804"/>
      <c r="M445" s="784">
        <f t="shared" si="36"/>
        <v>0</v>
      </c>
      <c r="N445" s="804"/>
      <c r="O445" s="784">
        <f t="shared" si="37"/>
        <v>0</v>
      </c>
      <c r="P445" s="784">
        <f t="shared" si="38"/>
        <v>0</v>
      </c>
    </row>
    <row r="446" spans="3:16" ht="12.75">
      <c r="C446" s="1308">
        <f>IF(D436="","-",+C445+1)</f>
        <v>2019</v>
      </c>
      <c r="D446" s="728">
        <f t="shared" si="39"/>
        <v>20736573.515625</v>
      </c>
      <c r="E446" s="781">
        <f t="shared" si="41"/>
        <v>339943.828125</v>
      </c>
      <c r="F446" s="781">
        <f t="shared" si="35"/>
        <v>20396629.6875</v>
      </c>
      <c r="G446" s="728">
        <f t="shared" si="40"/>
        <v>20566601.6015625</v>
      </c>
      <c r="H446" s="786">
        <f>+J437*G446+E446</f>
        <v>2630513.0034836843</v>
      </c>
      <c r="I446" s="787">
        <f>+J438*G446+E446</f>
        <v>2630513.0034836843</v>
      </c>
      <c r="J446" s="784">
        <f t="shared" si="42"/>
        <v>0</v>
      </c>
      <c r="K446" s="784"/>
      <c r="L446" s="804"/>
      <c r="M446" s="784">
        <f t="shared" si="36"/>
        <v>0</v>
      </c>
      <c r="N446" s="804"/>
      <c r="O446" s="784">
        <f t="shared" si="37"/>
        <v>0</v>
      </c>
      <c r="P446" s="784">
        <f t="shared" si="38"/>
        <v>0</v>
      </c>
    </row>
    <row r="447" spans="3:16" ht="12.75">
      <c r="C447" s="780">
        <f>IF(D436="","-",+C446+1)</f>
        <v>2020</v>
      </c>
      <c r="D447" s="728">
        <f t="shared" si="39"/>
        <v>20396629.6875</v>
      </c>
      <c r="E447" s="781">
        <f t="shared" si="41"/>
        <v>339943.828125</v>
      </c>
      <c r="F447" s="781">
        <f t="shared" si="35"/>
        <v>20056685.859375</v>
      </c>
      <c r="G447" s="728">
        <f t="shared" si="40"/>
        <v>20226657.7734375</v>
      </c>
      <c r="H447" s="786">
        <f>+J437*G447+E447</f>
        <v>2592652.3559570946</v>
      </c>
      <c r="I447" s="787">
        <f>+J438*G447+E447</f>
        <v>2592652.3559570946</v>
      </c>
      <c r="J447" s="784">
        <f t="shared" si="42"/>
        <v>0</v>
      </c>
      <c r="K447" s="784"/>
      <c r="L447" s="804"/>
      <c r="M447" s="784">
        <f t="shared" si="36"/>
        <v>0</v>
      </c>
      <c r="N447" s="804"/>
      <c r="O447" s="784">
        <f t="shared" si="37"/>
        <v>0</v>
      </c>
      <c r="P447" s="784">
        <f t="shared" si="38"/>
        <v>0</v>
      </c>
    </row>
    <row r="448" spans="3:16" ht="12.75">
      <c r="C448" s="780">
        <f>IF(D436="","-",+C447+1)</f>
        <v>2021</v>
      </c>
      <c r="D448" s="728">
        <f t="shared" si="39"/>
        <v>20056685.859375</v>
      </c>
      <c r="E448" s="781">
        <f t="shared" si="41"/>
        <v>339943.828125</v>
      </c>
      <c r="F448" s="781">
        <f t="shared" si="35"/>
        <v>19716742.03125</v>
      </c>
      <c r="G448" s="728">
        <f t="shared" si="40"/>
        <v>19886713.9453125</v>
      </c>
      <c r="H448" s="786">
        <f>+J437*G448+E448</f>
        <v>2554791.708430505</v>
      </c>
      <c r="I448" s="787">
        <f>+J438*G448+E448</f>
        <v>2554791.708430505</v>
      </c>
      <c r="J448" s="784">
        <f t="shared" si="42"/>
        <v>0</v>
      </c>
      <c r="K448" s="784"/>
      <c r="L448" s="804"/>
      <c r="M448" s="784">
        <f t="shared" si="36"/>
        <v>0</v>
      </c>
      <c r="N448" s="804"/>
      <c r="O448" s="784">
        <f t="shared" si="37"/>
        <v>0</v>
      </c>
      <c r="P448" s="784">
        <f t="shared" si="38"/>
        <v>0</v>
      </c>
    </row>
    <row r="449" spans="3:16" ht="12.75">
      <c r="C449" s="780">
        <f>IF(D436="","-",+C448+1)</f>
        <v>2022</v>
      </c>
      <c r="D449" s="728">
        <f t="shared" si="39"/>
        <v>19716742.03125</v>
      </c>
      <c r="E449" s="781">
        <f t="shared" si="41"/>
        <v>339943.828125</v>
      </c>
      <c r="F449" s="781">
        <f t="shared" si="35"/>
        <v>19376798.203125</v>
      </c>
      <c r="G449" s="728">
        <f t="shared" si="40"/>
        <v>19546770.1171875</v>
      </c>
      <c r="H449" s="786">
        <f>+J437*G449+E449</f>
        <v>2516931.0609039147</v>
      </c>
      <c r="I449" s="787">
        <f>+J438*G449+E449</f>
        <v>2516931.0609039147</v>
      </c>
      <c r="J449" s="784">
        <f t="shared" si="42"/>
        <v>0</v>
      </c>
      <c r="K449" s="784"/>
      <c r="L449" s="804"/>
      <c r="M449" s="784">
        <f t="shared" si="36"/>
        <v>0</v>
      </c>
      <c r="N449" s="804"/>
      <c r="O449" s="784">
        <f t="shared" si="37"/>
        <v>0</v>
      </c>
      <c r="P449" s="784">
        <f t="shared" si="38"/>
        <v>0</v>
      </c>
    </row>
    <row r="450" spans="3:16" ht="12.75">
      <c r="C450" s="780">
        <f>IF(D436="","-",+C449+1)</f>
        <v>2023</v>
      </c>
      <c r="D450" s="728">
        <f t="shared" si="39"/>
        <v>19376798.203125</v>
      </c>
      <c r="E450" s="781">
        <f t="shared" si="41"/>
        <v>339943.828125</v>
      </c>
      <c r="F450" s="781">
        <f t="shared" si="35"/>
        <v>19036854.375</v>
      </c>
      <c r="G450" s="728">
        <f t="shared" si="40"/>
        <v>19206826.2890625</v>
      </c>
      <c r="H450" s="786">
        <f>+J437*G450+E450</f>
        <v>2479070.413377325</v>
      </c>
      <c r="I450" s="787">
        <f>+J438*G450+E450</f>
        <v>2479070.413377325</v>
      </c>
      <c r="J450" s="784">
        <f t="shared" si="42"/>
        <v>0</v>
      </c>
      <c r="K450" s="784"/>
      <c r="L450" s="804"/>
      <c r="M450" s="784">
        <f t="shared" si="36"/>
        <v>0</v>
      </c>
      <c r="N450" s="804"/>
      <c r="O450" s="784">
        <f t="shared" si="37"/>
        <v>0</v>
      </c>
      <c r="P450" s="784">
        <f t="shared" si="38"/>
        <v>0</v>
      </c>
    </row>
    <row r="451" spans="3:16" ht="12.75">
      <c r="C451" s="780">
        <f>IF(D436="","-",+C450+1)</f>
        <v>2024</v>
      </c>
      <c r="D451" s="728">
        <f t="shared" si="39"/>
        <v>19036854.375</v>
      </c>
      <c r="E451" s="781">
        <f t="shared" si="41"/>
        <v>339943.828125</v>
      </c>
      <c r="F451" s="781">
        <f t="shared" si="35"/>
        <v>18696910.546875</v>
      </c>
      <c r="G451" s="728">
        <f t="shared" si="40"/>
        <v>18866882.4609375</v>
      </c>
      <c r="H451" s="786">
        <f>+J437*G451+E451</f>
        <v>2441209.7658507354</v>
      </c>
      <c r="I451" s="787">
        <f>+J438*G451+E451</f>
        <v>2441209.7658507354</v>
      </c>
      <c r="J451" s="784">
        <f t="shared" si="42"/>
        <v>0</v>
      </c>
      <c r="K451" s="784"/>
      <c r="L451" s="804"/>
      <c r="M451" s="784">
        <f t="shared" si="36"/>
        <v>0</v>
      </c>
      <c r="N451" s="804"/>
      <c r="O451" s="784">
        <f t="shared" si="37"/>
        <v>0</v>
      </c>
      <c r="P451" s="784">
        <f t="shared" si="38"/>
        <v>0</v>
      </c>
    </row>
    <row r="452" spans="3:16" ht="12.75">
      <c r="C452" s="780">
        <f>IF(D436="","-",+C451+1)</f>
        <v>2025</v>
      </c>
      <c r="D452" s="728">
        <f t="shared" si="39"/>
        <v>18696910.546875</v>
      </c>
      <c r="E452" s="781">
        <f t="shared" si="41"/>
        <v>339943.828125</v>
      </c>
      <c r="F452" s="781">
        <f t="shared" si="35"/>
        <v>18356966.71875</v>
      </c>
      <c r="G452" s="728">
        <f t="shared" si="40"/>
        <v>18526938.6328125</v>
      </c>
      <c r="H452" s="786">
        <f>+J437*G452+E452</f>
        <v>2403349.1183241457</v>
      </c>
      <c r="I452" s="787">
        <f>+J438*G452+E452</f>
        <v>2403349.1183241457</v>
      </c>
      <c r="J452" s="784">
        <f t="shared" si="42"/>
        <v>0</v>
      </c>
      <c r="K452" s="784"/>
      <c r="L452" s="804"/>
      <c r="M452" s="784">
        <f t="shared" si="36"/>
        <v>0</v>
      </c>
      <c r="N452" s="804"/>
      <c r="O452" s="784">
        <f t="shared" si="37"/>
        <v>0</v>
      </c>
      <c r="P452" s="784">
        <f t="shared" si="38"/>
        <v>0</v>
      </c>
    </row>
    <row r="453" spans="3:16" ht="12.75">
      <c r="C453" s="780">
        <f>IF(D436="","-",+C452+1)</f>
        <v>2026</v>
      </c>
      <c r="D453" s="728">
        <f t="shared" si="39"/>
        <v>18356966.71875</v>
      </c>
      <c r="E453" s="781">
        <f t="shared" si="41"/>
        <v>339943.828125</v>
      </c>
      <c r="F453" s="781">
        <f t="shared" si="35"/>
        <v>18017022.890625</v>
      </c>
      <c r="G453" s="728">
        <f t="shared" si="40"/>
        <v>18186994.8046875</v>
      </c>
      <c r="H453" s="786">
        <f>+J437*G453+E453</f>
        <v>2365488.4707975555</v>
      </c>
      <c r="I453" s="787">
        <f>+J438*G453+E453</f>
        <v>2365488.4707975555</v>
      </c>
      <c r="J453" s="784">
        <f t="shared" si="42"/>
        <v>0</v>
      </c>
      <c r="K453" s="784"/>
      <c r="L453" s="804"/>
      <c r="M453" s="784">
        <f t="shared" si="36"/>
        <v>0</v>
      </c>
      <c r="N453" s="804"/>
      <c r="O453" s="784">
        <f t="shared" si="37"/>
        <v>0</v>
      </c>
      <c r="P453" s="784">
        <f t="shared" si="38"/>
        <v>0</v>
      </c>
    </row>
    <row r="454" spans="3:16" ht="12.75">
      <c r="C454" s="780">
        <f>IF(D436="","-",+C453+1)</f>
        <v>2027</v>
      </c>
      <c r="D454" s="728">
        <f t="shared" si="39"/>
        <v>18017022.890625</v>
      </c>
      <c r="E454" s="781">
        <f t="shared" si="41"/>
        <v>339943.828125</v>
      </c>
      <c r="F454" s="781">
        <f t="shared" si="35"/>
        <v>17677079.0625</v>
      </c>
      <c r="G454" s="728">
        <f t="shared" si="40"/>
        <v>17847050.9765625</v>
      </c>
      <c r="H454" s="786">
        <f>+J437*G454+E454</f>
        <v>2327627.823270966</v>
      </c>
      <c r="I454" s="787">
        <f>+J438*G454+E454</f>
        <v>2327627.823270966</v>
      </c>
      <c r="J454" s="784">
        <f t="shared" si="42"/>
        <v>0</v>
      </c>
      <c r="K454" s="784"/>
      <c r="L454" s="804"/>
      <c r="M454" s="784">
        <f t="shared" si="36"/>
        <v>0</v>
      </c>
      <c r="N454" s="804"/>
      <c r="O454" s="784">
        <f t="shared" si="37"/>
        <v>0</v>
      </c>
      <c r="P454" s="784">
        <f t="shared" si="38"/>
        <v>0</v>
      </c>
    </row>
    <row r="455" spans="3:16" ht="12.75">
      <c r="C455" s="780">
        <f>IF(D436="","-",+C454+1)</f>
        <v>2028</v>
      </c>
      <c r="D455" s="728">
        <f t="shared" si="39"/>
        <v>17677079.0625</v>
      </c>
      <c r="E455" s="781">
        <f t="shared" si="41"/>
        <v>339943.828125</v>
      </c>
      <c r="F455" s="781">
        <f t="shared" si="35"/>
        <v>17337135.234375</v>
      </c>
      <c r="G455" s="728">
        <f t="shared" si="40"/>
        <v>17507107.1484375</v>
      </c>
      <c r="H455" s="786">
        <f>+J437*G455+E455</f>
        <v>2289767.175744376</v>
      </c>
      <c r="I455" s="787">
        <f>+J438*G455+E455</f>
        <v>2289767.175744376</v>
      </c>
      <c r="J455" s="784">
        <f t="shared" si="42"/>
        <v>0</v>
      </c>
      <c r="K455" s="784"/>
      <c r="L455" s="804"/>
      <c r="M455" s="784">
        <f t="shared" si="36"/>
        <v>0</v>
      </c>
      <c r="N455" s="804"/>
      <c r="O455" s="784">
        <f t="shared" si="37"/>
        <v>0</v>
      </c>
      <c r="P455" s="784">
        <f t="shared" si="38"/>
        <v>0</v>
      </c>
    </row>
    <row r="456" spans="3:16" ht="12.75">
      <c r="C456" s="780">
        <f>IF(D436="","-",+C455+1)</f>
        <v>2029</v>
      </c>
      <c r="D456" s="728">
        <f t="shared" si="39"/>
        <v>17337135.234375</v>
      </c>
      <c r="E456" s="781">
        <f t="shared" si="41"/>
        <v>339943.828125</v>
      </c>
      <c r="F456" s="781">
        <f t="shared" si="35"/>
        <v>16997191.40625</v>
      </c>
      <c r="G456" s="728">
        <f t="shared" si="40"/>
        <v>17167163.3203125</v>
      </c>
      <c r="H456" s="786">
        <f>+J437*G456+E456</f>
        <v>2251906.528217786</v>
      </c>
      <c r="I456" s="787">
        <f>+J438*G456+E456</f>
        <v>2251906.528217786</v>
      </c>
      <c r="J456" s="784">
        <f t="shared" si="42"/>
        <v>0</v>
      </c>
      <c r="K456" s="784"/>
      <c r="L456" s="804"/>
      <c r="M456" s="784">
        <f t="shared" si="36"/>
        <v>0</v>
      </c>
      <c r="N456" s="804"/>
      <c r="O456" s="784">
        <f t="shared" si="37"/>
        <v>0</v>
      </c>
      <c r="P456" s="784">
        <f t="shared" si="38"/>
        <v>0</v>
      </c>
    </row>
    <row r="457" spans="3:16" ht="12.75">
      <c r="C457" s="780">
        <f>IF(D436="","-",+C456+1)</f>
        <v>2030</v>
      </c>
      <c r="D457" s="728">
        <f t="shared" si="39"/>
        <v>16997191.40625</v>
      </c>
      <c r="E457" s="781">
        <f t="shared" si="41"/>
        <v>339943.828125</v>
      </c>
      <c r="F457" s="781">
        <f t="shared" si="35"/>
        <v>16657247.578125</v>
      </c>
      <c r="G457" s="728">
        <f t="shared" si="40"/>
        <v>16827219.4921875</v>
      </c>
      <c r="H457" s="786">
        <f>+J437*G457+E457</f>
        <v>2214045.8806911963</v>
      </c>
      <c r="I457" s="787">
        <f>+J438*G457+E457</f>
        <v>2214045.8806911963</v>
      </c>
      <c r="J457" s="784">
        <f t="shared" si="42"/>
        <v>0</v>
      </c>
      <c r="K457" s="784"/>
      <c r="L457" s="804"/>
      <c r="M457" s="784">
        <f t="shared" si="36"/>
        <v>0</v>
      </c>
      <c r="N457" s="804"/>
      <c r="O457" s="784">
        <f t="shared" si="37"/>
        <v>0</v>
      </c>
      <c r="P457" s="784">
        <f t="shared" si="38"/>
        <v>0</v>
      </c>
    </row>
    <row r="458" spans="3:16" ht="12.75">
      <c r="C458" s="780">
        <f>IF(D436="","-",+C457+1)</f>
        <v>2031</v>
      </c>
      <c r="D458" s="728">
        <f t="shared" si="39"/>
        <v>16657247.578125</v>
      </c>
      <c r="E458" s="781">
        <f t="shared" si="41"/>
        <v>339943.828125</v>
      </c>
      <c r="F458" s="781">
        <f t="shared" si="35"/>
        <v>16317303.75</v>
      </c>
      <c r="G458" s="728">
        <f t="shared" si="40"/>
        <v>16487275.6640625</v>
      </c>
      <c r="H458" s="786">
        <f>+J437*G458+E458</f>
        <v>2176185.2331646066</v>
      </c>
      <c r="I458" s="787">
        <f>+J438*G458+E458</f>
        <v>2176185.2331646066</v>
      </c>
      <c r="J458" s="784">
        <f t="shared" si="42"/>
        <v>0</v>
      </c>
      <c r="K458" s="784"/>
      <c r="L458" s="804"/>
      <c r="M458" s="784">
        <f t="shared" si="36"/>
        <v>0</v>
      </c>
      <c r="N458" s="804"/>
      <c r="O458" s="784">
        <f t="shared" si="37"/>
        <v>0</v>
      </c>
      <c r="P458" s="784">
        <f t="shared" si="38"/>
        <v>0</v>
      </c>
    </row>
    <row r="459" spans="3:16" ht="12.75">
      <c r="C459" s="780">
        <f>IF(D436="","-",+C458+1)</f>
        <v>2032</v>
      </c>
      <c r="D459" s="728">
        <f t="shared" si="39"/>
        <v>16317303.75</v>
      </c>
      <c r="E459" s="781">
        <f t="shared" si="41"/>
        <v>339943.828125</v>
      </c>
      <c r="F459" s="781">
        <f t="shared" si="35"/>
        <v>15977359.921875</v>
      </c>
      <c r="G459" s="728">
        <f t="shared" si="40"/>
        <v>16147331.8359375</v>
      </c>
      <c r="H459" s="786">
        <f>+J437*G459+E459</f>
        <v>2138324.5856380165</v>
      </c>
      <c r="I459" s="787">
        <f>+J438*G459+E459</f>
        <v>2138324.5856380165</v>
      </c>
      <c r="J459" s="784">
        <f t="shared" si="42"/>
        <v>0</v>
      </c>
      <c r="K459" s="784"/>
      <c r="L459" s="804"/>
      <c r="M459" s="784">
        <f t="shared" si="36"/>
        <v>0</v>
      </c>
      <c r="N459" s="804"/>
      <c r="O459" s="784">
        <f t="shared" si="37"/>
        <v>0</v>
      </c>
      <c r="P459" s="784">
        <f t="shared" si="38"/>
        <v>0</v>
      </c>
    </row>
    <row r="460" spans="3:16" ht="12.75">
      <c r="C460" s="780">
        <f>IF(D436="","-",+C459+1)</f>
        <v>2033</v>
      </c>
      <c r="D460" s="728">
        <f t="shared" si="39"/>
        <v>15977359.921875</v>
      </c>
      <c r="E460" s="781">
        <f t="shared" si="41"/>
        <v>339943.828125</v>
      </c>
      <c r="F460" s="781">
        <f t="shared" si="35"/>
        <v>15637416.09375</v>
      </c>
      <c r="G460" s="728">
        <f t="shared" si="40"/>
        <v>15807388.0078125</v>
      </c>
      <c r="H460" s="786">
        <f>+J437*G460+E460</f>
        <v>2100463.938111427</v>
      </c>
      <c r="I460" s="787">
        <f>+J438*G460+E460</f>
        <v>2100463.938111427</v>
      </c>
      <c r="J460" s="784">
        <f t="shared" si="42"/>
        <v>0</v>
      </c>
      <c r="K460" s="784"/>
      <c r="L460" s="804"/>
      <c r="M460" s="784">
        <f t="shared" si="36"/>
        <v>0</v>
      </c>
      <c r="N460" s="804"/>
      <c r="O460" s="784">
        <f t="shared" si="37"/>
        <v>0</v>
      </c>
      <c r="P460" s="784">
        <f t="shared" si="38"/>
        <v>0</v>
      </c>
    </row>
    <row r="461" spans="3:16" ht="12.75">
      <c r="C461" s="780">
        <f>IF(D436="","-",+C460+1)</f>
        <v>2034</v>
      </c>
      <c r="D461" s="728">
        <f t="shared" si="39"/>
        <v>15637416.09375</v>
      </c>
      <c r="E461" s="781">
        <f t="shared" si="41"/>
        <v>339943.828125</v>
      </c>
      <c r="F461" s="781">
        <f t="shared" si="35"/>
        <v>15297472.265625</v>
      </c>
      <c r="G461" s="728">
        <f t="shared" si="40"/>
        <v>15467444.1796875</v>
      </c>
      <c r="H461" s="786">
        <f>+J437*G461+E461</f>
        <v>2062603.290584837</v>
      </c>
      <c r="I461" s="787">
        <f>+J438*G461+E461</f>
        <v>2062603.290584837</v>
      </c>
      <c r="J461" s="784">
        <f t="shared" si="42"/>
        <v>0</v>
      </c>
      <c r="K461" s="784"/>
      <c r="L461" s="804"/>
      <c r="M461" s="784">
        <f t="shared" si="36"/>
        <v>0</v>
      </c>
      <c r="N461" s="804"/>
      <c r="O461" s="784">
        <f t="shared" si="37"/>
        <v>0</v>
      </c>
      <c r="P461" s="784">
        <f t="shared" si="38"/>
        <v>0</v>
      </c>
    </row>
    <row r="462" spans="3:16" ht="12.75">
      <c r="C462" s="780">
        <f>IF(D436="","-",+C461+1)</f>
        <v>2035</v>
      </c>
      <c r="D462" s="728">
        <f t="shared" si="39"/>
        <v>15297472.265625</v>
      </c>
      <c r="E462" s="781">
        <f t="shared" si="41"/>
        <v>339943.828125</v>
      </c>
      <c r="F462" s="781">
        <f t="shared" si="35"/>
        <v>14957528.4375</v>
      </c>
      <c r="G462" s="728">
        <f t="shared" si="40"/>
        <v>15127500.3515625</v>
      </c>
      <c r="H462" s="786">
        <f>+J437*G462+E462</f>
        <v>2024742.6430582472</v>
      </c>
      <c r="I462" s="787">
        <f>+J438*G462+E462</f>
        <v>2024742.6430582472</v>
      </c>
      <c r="J462" s="784">
        <f t="shared" si="42"/>
        <v>0</v>
      </c>
      <c r="K462" s="784"/>
      <c r="L462" s="804"/>
      <c r="M462" s="784">
        <f t="shared" si="36"/>
        <v>0</v>
      </c>
      <c r="N462" s="804"/>
      <c r="O462" s="784">
        <f t="shared" si="37"/>
        <v>0</v>
      </c>
      <c r="P462" s="784">
        <f t="shared" si="38"/>
        <v>0</v>
      </c>
    </row>
    <row r="463" spans="3:16" ht="12.75">
      <c r="C463" s="780">
        <f>IF(D436="","-",+C462+1)</f>
        <v>2036</v>
      </c>
      <c r="D463" s="728">
        <f t="shared" si="39"/>
        <v>14957528.4375</v>
      </c>
      <c r="E463" s="781">
        <f t="shared" si="41"/>
        <v>339943.828125</v>
      </c>
      <c r="F463" s="781">
        <f t="shared" si="35"/>
        <v>14617584.609375</v>
      </c>
      <c r="G463" s="728">
        <f t="shared" si="40"/>
        <v>14787556.5234375</v>
      </c>
      <c r="H463" s="786">
        <f>+J437*G463+E463</f>
        <v>1986881.9955316572</v>
      </c>
      <c r="I463" s="787">
        <f>+J438*G463+E463</f>
        <v>1986881.9955316572</v>
      </c>
      <c r="J463" s="784">
        <f t="shared" si="42"/>
        <v>0</v>
      </c>
      <c r="K463" s="784"/>
      <c r="L463" s="804"/>
      <c r="M463" s="784">
        <f t="shared" si="36"/>
        <v>0</v>
      </c>
      <c r="N463" s="804"/>
      <c r="O463" s="784">
        <f t="shared" si="37"/>
        <v>0</v>
      </c>
      <c r="P463" s="784">
        <f t="shared" si="38"/>
        <v>0</v>
      </c>
    </row>
    <row r="464" spans="3:16" ht="12.75">
      <c r="C464" s="780">
        <f>IF(D436="","-",+C463+1)</f>
        <v>2037</v>
      </c>
      <c r="D464" s="728">
        <f t="shared" si="39"/>
        <v>14617584.609375</v>
      </c>
      <c r="E464" s="781">
        <f t="shared" si="41"/>
        <v>339943.828125</v>
      </c>
      <c r="F464" s="781">
        <f t="shared" si="35"/>
        <v>14277640.78125</v>
      </c>
      <c r="G464" s="728">
        <f t="shared" si="40"/>
        <v>14447612.6953125</v>
      </c>
      <c r="H464" s="786">
        <f>+J437*G464+E464</f>
        <v>1949021.3480050676</v>
      </c>
      <c r="I464" s="787">
        <f>+J438*G464+E464</f>
        <v>1949021.3480050676</v>
      </c>
      <c r="J464" s="784">
        <f t="shared" si="42"/>
        <v>0</v>
      </c>
      <c r="K464" s="784"/>
      <c r="L464" s="804"/>
      <c r="M464" s="784">
        <f t="shared" si="36"/>
        <v>0</v>
      </c>
      <c r="N464" s="804"/>
      <c r="O464" s="784">
        <f t="shared" si="37"/>
        <v>0</v>
      </c>
      <c r="P464" s="784">
        <f t="shared" si="38"/>
        <v>0</v>
      </c>
    </row>
    <row r="465" spans="3:16" ht="12.75">
      <c r="C465" s="780">
        <f>IF(D436="","-",+C464+1)</f>
        <v>2038</v>
      </c>
      <c r="D465" s="728">
        <f t="shared" si="39"/>
        <v>14277640.78125</v>
      </c>
      <c r="E465" s="781">
        <f t="shared" si="41"/>
        <v>339943.828125</v>
      </c>
      <c r="F465" s="781">
        <f t="shared" si="35"/>
        <v>13937696.953125</v>
      </c>
      <c r="G465" s="728">
        <f t="shared" si="40"/>
        <v>14107668.8671875</v>
      </c>
      <c r="H465" s="786">
        <f>+J437*G465+E465</f>
        <v>1911160.7004784776</v>
      </c>
      <c r="I465" s="787">
        <f>+J438*G465+E465</f>
        <v>1911160.7004784776</v>
      </c>
      <c r="J465" s="784">
        <f t="shared" si="42"/>
        <v>0</v>
      </c>
      <c r="K465" s="784"/>
      <c r="L465" s="804"/>
      <c r="M465" s="784">
        <f t="shared" si="36"/>
        <v>0</v>
      </c>
      <c r="N465" s="804"/>
      <c r="O465" s="784">
        <f t="shared" si="37"/>
        <v>0</v>
      </c>
      <c r="P465" s="784">
        <f t="shared" si="38"/>
        <v>0</v>
      </c>
    </row>
    <row r="466" spans="3:16" ht="12.75">
      <c r="C466" s="780">
        <f>IF(D436="","-",+C465+1)</f>
        <v>2039</v>
      </c>
      <c r="D466" s="728">
        <f t="shared" si="39"/>
        <v>13937696.953125</v>
      </c>
      <c r="E466" s="781">
        <f t="shared" si="41"/>
        <v>339943.828125</v>
      </c>
      <c r="F466" s="781">
        <f t="shared" si="35"/>
        <v>13597753.125</v>
      </c>
      <c r="G466" s="728">
        <f t="shared" si="40"/>
        <v>13767725.0390625</v>
      </c>
      <c r="H466" s="786">
        <f>+J437*G466+E466</f>
        <v>1873300.052951888</v>
      </c>
      <c r="I466" s="787">
        <f>+J438*G466+E466</f>
        <v>1873300.052951888</v>
      </c>
      <c r="J466" s="784">
        <f t="shared" si="42"/>
        <v>0</v>
      </c>
      <c r="K466" s="784"/>
      <c r="L466" s="804"/>
      <c r="M466" s="784">
        <f t="shared" si="36"/>
        <v>0</v>
      </c>
      <c r="N466" s="804"/>
      <c r="O466" s="784">
        <f t="shared" si="37"/>
        <v>0</v>
      </c>
      <c r="P466" s="784">
        <f t="shared" si="38"/>
        <v>0</v>
      </c>
    </row>
    <row r="467" spans="3:16" ht="12.75">
      <c r="C467" s="780">
        <f>IF(D436="","-",+C466+1)</f>
        <v>2040</v>
      </c>
      <c r="D467" s="728">
        <f t="shared" si="39"/>
        <v>13597753.125</v>
      </c>
      <c r="E467" s="781">
        <f t="shared" si="41"/>
        <v>339943.828125</v>
      </c>
      <c r="F467" s="781">
        <f t="shared" si="35"/>
        <v>13257809.296875</v>
      </c>
      <c r="G467" s="728">
        <f t="shared" si="40"/>
        <v>13427781.2109375</v>
      </c>
      <c r="H467" s="786">
        <f>+J437*G467+E467</f>
        <v>1835439.405425298</v>
      </c>
      <c r="I467" s="787">
        <f>+J438*G467+E467</f>
        <v>1835439.405425298</v>
      </c>
      <c r="J467" s="784">
        <f t="shared" si="42"/>
        <v>0</v>
      </c>
      <c r="K467" s="784"/>
      <c r="L467" s="804"/>
      <c r="M467" s="784">
        <f t="shared" si="36"/>
        <v>0</v>
      </c>
      <c r="N467" s="804"/>
      <c r="O467" s="784">
        <f t="shared" si="37"/>
        <v>0</v>
      </c>
      <c r="P467" s="784">
        <f t="shared" si="38"/>
        <v>0</v>
      </c>
    </row>
    <row r="468" spans="3:16" ht="12.75">
      <c r="C468" s="780">
        <f>IF(D436="","-",+C467+1)</f>
        <v>2041</v>
      </c>
      <c r="D468" s="728">
        <f t="shared" si="39"/>
        <v>13257809.296875</v>
      </c>
      <c r="E468" s="781">
        <f t="shared" si="41"/>
        <v>339943.828125</v>
      </c>
      <c r="F468" s="781">
        <f t="shared" si="35"/>
        <v>12917865.46875</v>
      </c>
      <c r="G468" s="728">
        <f t="shared" si="40"/>
        <v>13087837.3828125</v>
      </c>
      <c r="H468" s="786">
        <f>+J437*G468+E468</f>
        <v>1797578.7578987083</v>
      </c>
      <c r="I468" s="787">
        <f>+J438*G468+E468</f>
        <v>1797578.7578987083</v>
      </c>
      <c r="J468" s="784">
        <f t="shared" si="42"/>
        <v>0</v>
      </c>
      <c r="K468" s="784"/>
      <c r="L468" s="804"/>
      <c r="M468" s="784">
        <f t="shared" si="36"/>
        <v>0</v>
      </c>
      <c r="N468" s="804"/>
      <c r="O468" s="784">
        <f t="shared" si="37"/>
        <v>0</v>
      </c>
      <c r="P468" s="784">
        <f t="shared" si="38"/>
        <v>0</v>
      </c>
    </row>
    <row r="469" spans="3:16" ht="12.75">
      <c r="C469" s="780">
        <f>IF(D436="","-",+C468+1)</f>
        <v>2042</v>
      </c>
      <c r="D469" s="728">
        <f t="shared" si="39"/>
        <v>12917865.46875</v>
      </c>
      <c r="E469" s="781">
        <f t="shared" si="41"/>
        <v>339943.828125</v>
      </c>
      <c r="F469" s="781">
        <f t="shared" si="35"/>
        <v>12577921.640625</v>
      </c>
      <c r="G469" s="728">
        <f t="shared" si="40"/>
        <v>12747893.5546875</v>
      </c>
      <c r="H469" s="786">
        <f>+J437*G469+E469</f>
        <v>1759718.1103721184</v>
      </c>
      <c r="I469" s="787">
        <f>+J438*G469+E469</f>
        <v>1759718.1103721184</v>
      </c>
      <c r="J469" s="784">
        <f t="shared" si="42"/>
        <v>0</v>
      </c>
      <c r="K469" s="784"/>
      <c r="L469" s="804"/>
      <c r="M469" s="784">
        <f t="shared" si="36"/>
        <v>0</v>
      </c>
      <c r="N469" s="804"/>
      <c r="O469" s="784">
        <f t="shared" si="37"/>
        <v>0</v>
      </c>
      <c r="P469" s="784">
        <f t="shared" si="38"/>
        <v>0</v>
      </c>
    </row>
    <row r="470" spans="3:16" ht="12.75">
      <c r="C470" s="780">
        <f>IF(D436="","-",+C469+1)</f>
        <v>2043</v>
      </c>
      <c r="D470" s="728">
        <f t="shared" si="39"/>
        <v>12577921.640625</v>
      </c>
      <c r="E470" s="781">
        <f t="shared" si="41"/>
        <v>339943.828125</v>
      </c>
      <c r="F470" s="781">
        <f t="shared" si="35"/>
        <v>12237977.8125</v>
      </c>
      <c r="G470" s="728">
        <f t="shared" si="40"/>
        <v>12407949.7265625</v>
      </c>
      <c r="H470" s="786">
        <f>+J437*G470+E470</f>
        <v>1721857.4628455285</v>
      </c>
      <c r="I470" s="787">
        <f>+J438*G470+E470</f>
        <v>1721857.4628455285</v>
      </c>
      <c r="J470" s="784">
        <f t="shared" si="42"/>
        <v>0</v>
      </c>
      <c r="K470" s="784"/>
      <c r="L470" s="804"/>
      <c r="M470" s="784">
        <f t="shared" si="36"/>
        <v>0</v>
      </c>
      <c r="N470" s="804"/>
      <c r="O470" s="784">
        <f t="shared" si="37"/>
        <v>0</v>
      </c>
      <c r="P470" s="784">
        <f t="shared" si="38"/>
        <v>0</v>
      </c>
    </row>
    <row r="471" spans="3:16" ht="12.75">
      <c r="C471" s="780">
        <f>IF(D436="","-",+C470+1)</f>
        <v>2044</v>
      </c>
      <c r="D471" s="728">
        <f t="shared" si="39"/>
        <v>12237977.8125</v>
      </c>
      <c r="E471" s="781">
        <f t="shared" si="41"/>
        <v>339943.828125</v>
      </c>
      <c r="F471" s="781">
        <f t="shared" si="35"/>
        <v>11898033.984375</v>
      </c>
      <c r="G471" s="728">
        <f t="shared" si="40"/>
        <v>12068005.8984375</v>
      </c>
      <c r="H471" s="786">
        <f>+J437*G471+E471</f>
        <v>1683996.8153189388</v>
      </c>
      <c r="I471" s="787">
        <f>+J438*G471+E471</f>
        <v>1683996.8153189388</v>
      </c>
      <c r="J471" s="784">
        <f t="shared" si="42"/>
        <v>0</v>
      </c>
      <c r="K471" s="784"/>
      <c r="L471" s="804"/>
      <c r="M471" s="784">
        <f t="shared" si="36"/>
        <v>0</v>
      </c>
      <c r="N471" s="804"/>
      <c r="O471" s="784">
        <f t="shared" si="37"/>
        <v>0</v>
      </c>
      <c r="P471" s="784">
        <f t="shared" si="38"/>
        <v>0</v>
      </c>
    </row>
    <row r="472" spans="3:16" ht="12.75">
      <c r="C472" s="780">
        <f>IF(D436="","-",+C471+1)</f>
        <v>2045</v>
      </c>
      <c r="D472" s="728">
        <f t="shared" si="39"/>
        <v>11898033.984375</v>
      </c>
      <c r="E472" s="781">
        <f t="shared" si="41"/>
        <v>339943.828125</v>
      </c>
      <c r="F472" s="781">
        <f t="shared" si="35"/>
        <v>11558090.15625</v>
      </c>
      <c r="G472" s="728">
        <f t="shared" si="40"/>
        <v>11728062.0703125</v>
      </c>
      <c r="H472" s="786">
        <f>+J437*G472+E472</f>
        <v>1646136.167792349</v>
      </c>
      <c r="I472" s="787">
        <f>+J438*G472+E472</f>
        <v>1646136.167792349</v>
      </c>
      <c r="J472" s="784">
        <f t="shared" si="42"/>
        <v>0</v>
      </c>
      <c r="K472" s="784"/>
      <c r="L472" s="804"/>
      <c r="M472" s="784">
        <f t="shared" si="36"/>
        <v>0</v>
      </c>
      <c r="N472" s="804"/>
      <c r="O472" s="784">
        <f t="shared" si="37"/>
        <v>0</v>
      </c>
      <c r="P472" s="784">
        <f t="shared" si="38"/>
        <v>0</v>
      </c>
    </row>
    <row r="473" spans="3:16" ht="12.75">
      <c r="C473" s="780">
        <f>IF(D436="","-",+C472+1)</f>
        <v>2046</v>
      </c>
      <c r="D473" s="728">
        <f t="shared" si="39"/>
        <v>11558090.15625</v>
      </c>
      <c r="E473" s="781">
        <f t="shared" si="41"/>
        <v>339943.828125</v>
      </c>
      <c r="F473" s="781">
        <f t="shared" si="35"/>
        <v>11218146.328125</v>
      </c>
      <c r="G473" s="728">
        <f t="shared" si="40"/>
        <v>11388118.2421875</v>
      </c>
      <c r="H473" s="786">
        <f>+J437*G473+E473</f>
        <v>1608275.5202657592</v>
      </c>
      <c r="I473" s="787">
        <f>+J438*G473+E473</f>
        <v>1608275.5202657592</v>
      </c>
      <c r="J473" s="784">
        <f t="shared" si="42"/>
        <v>0</v>
      </c>
      <c r="K473" s="784"/>
      <c r="L473" s="804"/>
      <c r="M473" s="784">
        <f t="shared" si="36"/>
        <v>0</v>
      </c>
      <c r="N473" s="804"/>
      <c r="O473" s="784">
        <f t="shared" si="37"/>
        <v>0</v>
      </c>
      <c r="P473" s="784">
        <f t="shared" si="38"/>
        <v>0</v>
      </c>
    </row>
    <row r="474" spans="3:16" ht="12.75">
      <c r="C474" s="780">
        <f>IF(D436="","-",+C473+1)</f>
        <v>2047</v>
      </c>
      <c r="D474" s="728">
        <f t="shared" si="39"/>
        <v>11218146.328125</v>
      </c>
      <c r="E474" s="781">
        <f t="shared" si="41"/>
        <v>339943.828125</v>
      </c>
      <c r="F474" s="781">
        <f t="shared" si="35"/>
        <v>10878202.5</v>
      </c>
      <c r="G474" s="728">
        <f t="shared" si="40"/>
        <v>11048174.4140625</v>
      </c>
      <c r="H474" s="786">
        <f>+J437*G474+E474</f>
        <v>1570414.8727391693</v>
      </c>
      <c r="I474" s="787">
        <f>+J438*G474+E474</f>
        <v>1570414.8727391693</v>
      </c>
      <c r="J474" s="784">
        <f t="shared" si="42"/>
        <v>0</v>
      </c>
      <c r="K474" s="784"/>
      <c r="L474" s="804"/>
      <c r="M474" s="784">
        <f t="shared" si="36"/>
        <v>0</v>
      </c>
      <c r="N474" s="804"/>
      <c r="O474" s="784">
        <f t="shared" si="37"/>
        <v>0</v>
      </c>
      <c r="P474" s="784">
        <f t="shared" si="38"/>
        <v>0</v>
      </c>
    </row>
    <row r="475" spans="3:16" ht="12.75">
      <c r="C475" s="780">
        <f>IF(D436="","-",+C474+1)</f>
        <v>2048</v>
      </c>
      <c r="D475" s="728">
        <f t="shared" si="39"/>
        <v>10878202.5</v>
      </c>
      <c r="E475" s="781">
        <f t="shared" si="41"/>
        <v>339943.828125</v>
      </c>
      <c r="F475" s="781">
        <f t="shared" si="35"/>
        <v>10538258.671875</v>
      </c>
      <c r="G475" s="728">
        <f t="shared" si="40"/>
        <v>10708230.5859375</v>
      </c>
      <c r="H475" s="786">
        <f>+J437*G475+E475</f>
        <v>1532554.2252125794</v>
      </c>
      <c r="I475" s="787">
        <f>+J438*G475+E475</f>
        <v>1532554.2252125794</v>
      </c>
      <c r="J475" s="784">
        <f t="shared" si="42"/>
        <v>0</v>
      </c>
      <c r="K475" s="784"/>
      <c r="L475" s="804"/>
      <c r="M475" s="784">
        <f t="shared" si="36"/>
        <v>0</v>
      </c>
      <c r="N475" s="804"/>
      <c r="O475" s="784">
        <f t="shared" si="37"/>
        <v>0</v>
      </c>
      <c r="P475" s="784">
        <f t="shared" si="38"/>
        <v>0</v>
      </c>
    </row>
    <row r="476" spans="3:16" ht="12.75">
      <c r="C476" s="780">
        <f>IF(D436="","-",+C475+1)</f>
        <v>2049</v>
      </c>
      <c r="D476" s="728">
        <f t="shared" si="39"/>
        <v>10538258.671875</v>
      </c>
      <c r="E476" s="781">
        <f t="shared" si="41"/>
        <v>339943.828125</v>
      </c>
      <c r="F476" s="781">
        <f t="shared" si="35"/>
        <v>10198314.84375</v>
      </c>
      <c r="G476" s="728">
        <f t="shared" si="40"/>
        <v>10368286.7578125</v>
      </c>
      <c r="H476" s="786">
        <f>+J437*G476+E476</f>
        <v>1494693.5776859897</v>
      </c>
      <c r="I476" s="787">
        <f>+J438*G476+E476</f>
        <v>1494693.5776859897</v>
      </c>
      <c r="J476" s="784">
        <f t="shared" si="42"/>
        <v>0</v>
      </c>
      <c r="K476" s="784"/>
      <c r="L476" s="804"/>
      <c r="M476" s="784">
        <f t="shared" si="36"/>
        <v>0</v>
      </c>
      <c r="N476" s="804"/>
      <c r="O476" s="784">
        <f t="shared" si="37"/>
        <v>0</v>
      </c>
      <c r="P476" s="784">
        <f t="shared" si="38"/>
        <v>0</v>
      </c>
    </row>
    <row r="477" spans="3:16" ht="12.75">
      <c r="C477" s="780">
        <f>IF(D436="","-",+C476+1)</f>
        <v>2050</v>
      </c>
      <c r="D477" s="728">
        <f t="shared" si="39"/>
        <v>10198314.84375</v>
      </c>
      <c r="E477" s="781">
        <f t="shared" si="41"/>
        <v>339943.828125</v>
      </c>
      <c r="F477" s="781">
        <f t="shared" si="35"/>
        <v>9858371.015625</v>
      </c>
      <c r="G477" s="728">
        <f t="shared" si="40"/>
        <v>10028342.9296875</v>
      </c>
      <c r="H477" s="786">
        <f>+J437*G477+E477</f>
        <v>1456832.9301593998</v>
      </c>
      <c r="I477" s="787">
        <f>+J438*G477+E477</f>
        <v>1456832.9301593998</v>
      </c>
      <c r="J477" s="784">
        <f t="shared" si="42"/>
        <v>0</v>
      </c>
      <c r="K477" s="784"/>
      <c r="L477" s="804"/>
      <c r="M477" s="784">
        <f t="shared" si="36"/>
        <v>0</v>
      </c>
      <c r="N477" s="804"/>
      <c r="O477" s="784">
        <f t="shared" si="37"/>
        <v>0</v>
      </c>
      <c r="P477" s="784">
        <f t="shared" si="38"/>
        <v>0</v>
      </c>
    </row>
    <row r="478" spans="3:16" ht="12.75">
      <c r="C478" s="780">
        <f>IF(D436="","-",+C477+1)</f>
        <v>2051</v>
      </c>
      <c r="D478" s="728">
        <f t="shared" si="39"/>
        <v>9858371.015625</v>
      </c>
      <c r="E478" s="781">
        <f t="shared" si="41"/>
        <v>339943.828125</v>
      </c>
      <c r="F478" s="781">
        <f t="shared" si="35"/>
        <v>9518427.1875</v>
      </c>
      <c r="G478" s="728">
        <f t="shared" si="40"/>
        <v>9688399.1015625</v>
      </c>
      <c r="H478" s="786">
        <f>+J437*G478+E478</f>
        <v>1418972.28263281</v>
      </c>
      <c r="I478" s="787">
        <f>+J438*G478+E478</f>
        <v>1418972.28263281</v>
      </c>
      <c r="J478" s="784">
        <f t="shared" si="42"/>
        <v>0</v>
      </c>
      <c r="K478" s="784"/>
      <c r="L478" s="804"/>
      <c r="M478" s="784">
        <f t="shared" si="36"/>
        <v>0</v>
      </c>
      <c r="N478" s="804"/>
      <c r="O478" s="784">
        <f t="shared" si="37"/>
        <v>0</v>
      </c>
      <c r="P478" s="784">
        <f t="shared" si="38"/>
        <v>0</v>
      </c>
    </row>
    <row r="479" spans="3:16" ht="12.75">
      <c r="C479" s="780">
        <f>IF(D436="","-",+C478+1)</f>
        <v>2052</v>
      </c>
      <c r="D479" s="728">
        <f t="shared" si="39"/>
        <v>9518427.1875</v>
      </c>
      <c r="E479" s="781">
        <f t="shared" si="41"/>
        <v>339943.828125</v>
      </c>
      <c r="F479" s="781">
        <f t="shared" si="35"/>
        <v>9178483.359375</v>
      </c>
      <c r="G479" s="728">
        <f t="shared" si="40"/>
        <v>9348455.2734375</v>
      </c>
      <c r="H479" s="786">
        <f>+J437*G479+E479</f>
        <v>1381111.6351062201</v>
      </c>
      <c r="I479" s="787">
        <f>+J438*G479+E479</f>
        <v>1381111.6351062201</v>
      </c>
      <c r="J479" s="784">
        <f t="shared" si="42"/>
        <v>0</v>
      </c>
      <c r="K479" s="784"/>
      <c r="L479" s="804"/>
      <c r="M479" s="784">
        <f t="shared" si="36"/>
        <v>0</v>
      </c>
      <c r="N479" s="804"/>
      <c r="O479" s="784">
        <f t="shared" si="37"/>
        <v>0</v>
      </c>
      <c r="P479" s="784">
        <f t="shared" si="38"/>
        <v>0</v>
      </c>
    </row>
    <row r="480" spans="3:16" ht="12.75">
      <c r="C480" s="780">
        <f>IF(D436="","-",+C479+1)</f>
        <v>2053</v>
      </c>
      <c r="D480" s="728">
        <f t="shared" si="39"/>
        <v>9178483.359375</v>
      </c>
      <c r="E480" s="781">
        <f t="shared" si="41"/>
        <v>339943.828125</v>
      </c>
      <c r="F480" s="781">
        <f t="shared" si="35"/>
        <v>8838539.53125</v>
      </c>
      <c r="G480" s="728">
        <f t="shared" si="40"/>
        <v>9008511.4453125</v>
      </c>
      <c r="H480" s="786">
        <f>+J437*G480+E480</f>
        <v>1343250.9875796302</v>
      </c>
      <c r="I480" s="787">
        <f>+J438*G480+E480</f>
        <v>1343250.9875796302</v>
      </c>
      <c r="J480" s="784">
        <f t="shared" si="42"/>
        <v>0</v>
      </c>
      <c r="K480" s="784"/>
      <c r="L480" s="804"/>
      <c r="M480" s="784">
        <f t="shared" si="36"/>
        <v>0</v>
      </c>
      <c r="N480" s="804"/>
      <c r="O480" s="784">
        <f t="shared" si="37"/>
        <v>0</v>
      </c>
      <c r="P480" s="784">
        <f t="shared" si="38"/>
        <v>0</v>
      </c>
    </row>
    <row r="481" spans="3:16" ht="12.75">
      <c r="C481" s="780">
        <f>IF(D436="","-",+C480+1)</f>
        <v>2054</v>
      </c>
      <c r="D481" s="728">
        <f t="shared" si="39"/>
        <v>8838539.53125</v>
      </c>
      <c r="E481" s="781">
        <f t="shared" si="41"/>
        <v>339943.828125</v>
      </c>
      <c r="F481" s="781">
        <f t="shared" si="35"/>
        <v>8498595.703125</v>
      </c>
      <c r="G481" s="728">
        <f t="shared" si="40"/>
        <v>8668567.6171875</v>
      </c>
      <c r="H481" s="786">
        <f>+J437*G481+E481</f>
        <v>1305390.3400530405</v>
      </c>
      <c r="I481" s="787">
        <f>+J438*G481+E481</f>
        <v>1305390.3400530405</v>
      </c>
      <c r="J481" s="784">
        <f t="shared" si="42"/>
        <v>0</v>
      </c>
      <c r="K481" s="784"/>
      <c r="L481" s="804"/>
      <c r="M481" s="784">
        <f t="shared" si="36"/>
        <v>0</v>
      </c>
      <c r="N481" s="804"/>
      <c r="O481" s="784">
        <f t="shared" si="37"/>
        <v>0</v>
      </c>
      <c r="P481" s="784">
        <f t="shared" si="38"/>
        <v>0</v>
      </c>
    </row>
    <row r="482" spans="3:16" ht="12.75">
      <c r="C482" s="780">
        <f>IF(D436="","-",+C481+1)</f>
        <v>2055</v>
      </c>
      <c r="D482" s="728">
        <f t="shared" si="39"/>
        <v>8498595.703125</v>
      </c>
      <c r="E482" s="781">
        <f t="shared" si="41"/>
        <v>339943.828125</v>
      </c>
      <c r="F482" s="781">
        <f t="shared" si="35"/>
        <v>8158651.875</v>
      </c>
      <c r="G482" s="728">
        <f t="shared" si="40"/>
        <v>8328623.7890625</v>
      </c>
      <c r="H482" s="786">
        <f>+J437*G482+E482</f>
        <v>1267529.6925264508</v>
      </c>
      <c r="I482" s="787">
        <f>+J438*G482+E482</f>
        <v>1267529.6925264508</v>
      </c>
      <c r="J482" s="784">
        <f t="shared" si="42"/>
        <v>0</v>
      </c>
      <c r="K482" s="784"/>
      <c r="L482" s="804"/>
      <c r="M482" s="784">
        <f t="shared" si="36"/>
        <v>0</v>
      </c>
      <c r="N482" s="804"/>
      <c r="O482" s="784">
        <f t="shared" si="37"/>
        <v>0</v>
      </c>
      <c r="P482" s="784">
        <f t="shared" si="38"/>
        <v>0</v>
      </c>
    </row>
    <row r="483" spans="3:16" ht="12.75">
      <c r="C483" s="780">
        <f>IF(D436="","-",+C482+1)</f>
        <v>2056</v>
      </c>
      <c r="D483" s="728">
        <f t="shared" si="39"/>
        <v>8158651.875</v>
      </c>
      <c r="E483" s="781">
        <f t="shared" si="41"/>
        <v>339943.828125</v>
      </c>
      <c r="F483" s="781">
        <f t="shared" si="35"/>
        <v>7818708.046875</v>
      </c>
      <c r="G483" s="728">
        <f t="shared" si="40"/>
        <v>7988679.9609375</v>
      </c>
      <c r="H483" s="786">
        <f>+J437*G483+E483</f>
        <v>1229669.044999861</v>
      </c>
      <c r="I483" s="787">
        <f>+J438*G483+E483</f>
        <v>1229669.044999861</v>
      </c>
      <c r="J483" s="784">
        <f t="shared" si="42"/>
        <v>0</v>
      </c>
      <c r="K483" s="784"/>
      <c r="L483" s="804"/>
      <c r="M483" s="784">
        <f t="shared" si="36"/>
        <v>0</v>
      </c>
      <c r="N483" s="804"/>
      <c r="O483" s="784">
        <f t="shared" si="37"/>
        <v>0</v>
      </c>
      <c r="P483" s="784">
        <f t="shared" si="38"/>
        <v>0</v>
      </c>
    </row>
    <row r="484" spans="3:16" ht="12.75">
      <c r="C484" s="780">
        <f>IF(D436="","-",+C483+1)</f>
        <v>2057</v>
      </c>
      <c r="D484" s="728">
        <f t="shared" si="39"/>
        <v>7818708.046875</v>
      </c>
      <c r="E484" s="781">
        <f t="shared" si="41"/>
        <v>339943.828125</v>
      </c>
      <c r="F484" s="781">
        <f t="shared" si="35"/>
        <v>7478764.21875</v>
      </c>
      <c r="G484" s="728">
        <f t="shared" si="40"/>
        <v>7648736.1328125</v>
      </c>
      <c r="H484" s="786">
        <f>+J437*G484+E484</f>
        <v>1191808.397473271</v>
      </c>
      <c r="I484" s="787">
        <f>+J438*G484+E484</f>
        <v>1191808.397473271</v>
      </c>
      <c r="J484" s="784">
        <f t="shared" si="42"/>
        <v>0</v>
      </c>
      <c r="K484" s="784"/>
      <c r="L484" s="804"/>
      <c r="M484" s="784">
        <f t="shared" si="36"/>
        <v>0</v>
      </c>
      <c r="N484" s="804"/>
      <c r="O484" s="784">
        <f t="shared" si="37"/>
        <v>0</v>
      </c>
      <c r="P484" s="784">
        <f t="shared" si="38"/>
        <v>0</v>
      </c>
    </row>
    <row r="485" spans="3:16" ht="12.75">
      <c r="C485" s="780">
        <f>IF(D436="","-",+C484+1)</f>
        <v>2058</v>
      </c>
      <c r="D485" s="728">
        <f t="shared" si="39"/>
        <v>7478764.21875</v>
      </c>
      <c r="E485" s="781">
        <f t="shared" si="41"/>
        <v>339943.828125</v>
      </c>
      <c r="F485" s="781">
        <f t="shared" si="35"/>
        <v>7138820.390625</v>
      </c>
      <c r="G485" s="728">
        <f t="shared" si="40"/>
        <v>7308792.3046875</v>
      </c>
      <c r="H485" s="786">
        <f>+J437*G485+E485</f>
        <v>1153947.7499466813</v>
      </c>
      <c r="I485" s="787">
        <f>+J438*G485+E485</f>
        <v>1153947.7499466813</v>
      </c>
      <c r="J485" s="784">
        <f t="shared" si="42"/>
        <v>0</v>
      </c>
      <c r="K485" s="784"/>
      <c r="L485" s="804"/>
      <c r="M485" s="784">
        <f t="shared" si="36"/>
        <v>0</v>
      </c>
      <c r="N485" s="804"/>
      <c r="O485" s="784">
        <f t="shared" si="37"/>
        <v>0</v>
      </c>
      <c r="P485" s="784">
        <f t="shared" si="38"/>
        <v>0</v>
      </c>
    </row>
    <row r="486" spans="3:16" ht="12.75">
      <c r="C486" s="780">
        <f>IF(D436="","-",+C485+1)</f>
        <v>2059</v>
      </c>
      <c r="D486" s="728">
        <f t="shared" si="39"/>
        <v>7138820.390625</v>
      </c>
      <c r="E486" s="781">
        <f t="shared" si="41"/>
        <v>339943.828125</v>
      </c>
      <c r="F486" s="781">
        <f t="shared" si="35"/>
        <v>6798876.5625</v>
      </c>
      <c r="G486" s="728">
        <f t="shared" si="40"/>
        <v>6968848.4765625</v>
      </c>
      <c r="H486" s="786">
        <f>+J437*G486+E486</f>
        <v>1116087.1024200914</v>
      </c>
      <c r="I486" s="787">
        <f>+J438*G486+E486</f>
        <v>1116087.1024200914</v>
      </c>
      <c r="J486" s="784">
        <f t="shared" si="42"/>
        <v>0</v>
      </c>
      <c r="K486" s="784"/>
      <c r="L486" s="804"/>
      <c r="M486" s="784">
        <f t="shared" si="36"/>
        <v>0</v>
      </c>
      <c r="N486" s="804"/>
      <c r="O486" s="784">
        <f t="shared" si="37"/>
        <v>0</v>
      </c>
      <c r="P486" s="784">
        <f t="shared" si="38"/>
        <v>0</v>
      </c>
    </row>
    <row r="487" spans="3:16" ht="12.75">
      <c r="C487" s="780">
        <f>IF(D436="","-",+C486+1)</f>
        <v>2060</v>
      </c>
      <c r="D487" s="728">
        <f t="shared" si="39"/>
        <v>6798876.5625</v>
      </c>
      <c r="E487" s="781">
        <f t="shared" si="41"/>
        <v>339943.828125</v>
      </c>
      <c r="F487" s="781">
        <f t="shared" si="35"/>
        <v>6458932.734375</v>
      </c>
      <c r="G487" s="728">
        <f t="shared" si="40"/>
        <v>6628904.6484375</v>
      </c>
      <c r="H487" s="786">
        <f>+J437*G487+E487</f>
        <v>1078226.4548935015</v>
      </c>
      <c r="I487" s="787">
        <f>+J438*G487+E487</f>
        <v>1078226.4548935015</v>
      </c>
      <c r="J487" s="784">
        <f t="shared" si="42"/>
        <v>0</v>
      </c>
      <c r="K487" s="784"/>
      <c r="L487" s="804"/>
      <c r="M487" s="784">
        <f t="shared" si="36"/>
        <v>0</v>
      </c>
      <c r="N487" s="804"/>
      <c r="O487" s="784">
        <f t="shared" si="37"/>
        <v>0</v>
      </c>
      <c r="P487" s="784">
        <f t="shared" si="38"/>
        <v>0</v>
      </c>
    </row>
    <row r="488" spans="3:16" ht="12.75">
      <c r="C488" s="780">
        <f>IF(D436="","-",+C487+1)</f>
        <v>2061</v>
      </c>
      <c r="D488" s="728">
        <f t="shared" si="39"/>
        <v>6458932.734375</v>
      </c>
      <c r="E488" s="781">
        <f t="shared" si="41"/>
        <v>339943.828125</v>
      </c>
      <c r="F488" s="781">
        <f t="shared" si="35"/>
        <v>6118988.90625</v>
      </c>
      <c r="G488" s="728">
        <f t="shared" si="40"/>
        <v>6288960.8203125</v>
      </c>
      <c r="H488" s="786">
        <f>+J437*G488+E488</f>
        <v>1040365.8073669118</v>
      </c>
      <c r="I488" s="787">
        <f>+J438*G488+E488</f>
        <v>1040365.8073669118</v>
      </c>
      <c r="J488" s="784">
        <f t="shared" si="42"/>
        <v>0</v>
      </c>
      <c r="K488" s="784"/>
      <c r="L488" s="804"/>
      <c r="M488" s="784">
        <f t="shared" si="36"/>
        <v>0</v>
      </c>
      <c r="N488" s="804"/>
      <c r="O488" s="784">
        <f t="shared" si="37"/>
        <v>0</v>
      </c>
      <c r="P488" s="784">
        <f t="shared" si="38"/>
        <v>0</v>
      </c>
    </row>
    <row r="489" spans="3:16" ht="12.75">
      <c r="C489" s="780">
        <f>IF(D436="","-",+C488+1)</f>
        <v>2062</v>
      </c>
      <c r="D489" s="728">
        <f t="shared" si="39"/>
        <v>6118988.90625</v>
      </c>
      <c r="E489" s="781">
        <f t="shared" si="41"/>
        <v>339943.828125</v>
      </c>
      <c r="F489" s="781">
        <f t="shared" si="35"/>
        <v>5779045.078125</v>
      </c>
      <c r="G489" s="728">
        <f t="shared" si="40"/>
        <v>5949016.9921875</v>
      </c>
      <c r="H489" s="786">
        <f>+J437*G489+E489</f>
        <v>1002505.159840322</v>
      </c>
      <c r="I489" s="787">
        <f>+J438*G489+E489</f>
        <v>1002505.159840322</v>
      </c>
      <c r="J489" s="784">
        <f t="shared" si="42"/>
        <v>0</v>
      </c>
      <c r="K489" s="784"/>
      <c r="L489" s="804"/>
      <c r="M489" s="784">
        <f t="shared" si="36"/>
        <v>0</v>
      </c>
      <c r="N489" s="804"/>
      <c r="O489" s="784">
        <f t="shared" si="37"/>
        <v>0</v>
      </c>
      <c r="P489" s="784">
        <f t="shared" si="38"/>
        <v>0</v>
      </c>
    </row>
    <row r="490" spans="3:16" ht="12.75">
      <c r="C490" s="780">
        <f>IF(D436="","-",+C489+1)</f>
        <v>2063</v>
      </c>
      <c r="D490" s="728">
        <f t="shared" si="39"/>
        <v>5779045.078125</v>
      </c>
      <c r="E490" s="781">
        <f t="shared" si="41"/>
        <v>339943.828125</v>
      </c>
      <c r="F490" s="781">
        <f t="shared" si="35"/>
        <v>5439101.25</v>
      </c>
      <c r="G490" s="728">
        <f t="shared" si="40"/>
        <v>5609073.1640625</v>
      </c>
      <c r="H490" s="786">
        <f>+J437*G490+E490</f>
        <v>964644.5123137321</v>
      </c>
      <c r="I490" s="787">
        <f>+J438*G490+E490</f>
        <v>964644.5123137321</v>
      </c>
      <c r="J490" s="784">
        <f t="shared" si="42"/>
        <v>0</v>
      </c>
      <c r="K490" s="784"/>
      <c r="L490" s="804"/>
      <c r="M490" s="784">
        <f t="shared" si="36"/>
        <v>0</v>
      </c>
      <c r="N490" s="804"/>
      <c r="O490" s="784">
        <f t="shared" si="37"/>
        <v>0</v>
      </c>
      <c r="P490" s="784">
        <f t="shared" si="38"/>
        <v>0</v>
      </c>
    </row>
    <row r="491" spans="3:16" ht="12.75">
      <c r="C491" s="780">
        <f>IF(D436="","-",+C490+1)</f>
        <v>2064</v>
      </c>
      <c r="D491" s="728">
        <f t="shared" si="39"/>
        <v>5439101.25</v>
      </c>
      <c r="E491" s="781">
        <f t="shared" si="41"/>
        <v>339943.828125</v>
      </c>
      <c r="F491" s="781">
        <f t="shared" si="35"/>
        <v>5099157.421875</v>
      </c>
      <c r="G491" s="728">
        <f t="shared" si="40"/>
        <v>5269129.3359375</v>
      </c>
      <c r="H491" s="786">
        <f>+J437*G491+E491</f>
        <v>926783.8647871423</v>
      </c>
      <c r="I491" s="787">
        <f>+J438*G491+E491</f>
        <v>926783.8647871423</v>
      </c>
      <c r="J491" s="784">
        <f t="shared" si="42"/>
        <v>0</v>
      </c>
      <c r="K491" s="784"/>
      <c r="L491" s="804"/>
      <c r="M491" s="784">
        <f t="shared" si="36"/>
        <v>0</v>
      </c>
      <c r="N491" s="804"/>
      <c r="O491" s="784">
        <f t="shared" si="37"/>
        <v>0</v>
      </c>
      <c r="P491" s="784">
        <f t="shared" si="38"/>
        <v>0</v>
      </c>
    </row>
    <row r="492" spans="3:16" ht="12.75">
      <c r="C492" s="780">
        <f>IF(D436="","-",+C491+1)</f>
        <v>2065</v>
      </c>
      <c r="D492" s="728">
        <f t="shared" si="39"/>
        <v>5099157.421875</v>
      </c>
      <c r="E492" s="781">
        <f t="shared" si="41"/>
        <v>339943.828125</v>
      </c>
      <c r="F492" s="781">
        <f t="shared" si="35"/>
        <v>4759213.59375</v>
      </c>
      <c r="G492" s="728">
        <f t="shared" si="40"/>
        <v>4929185.5078125</v>
      </c>
      <c r="H492" s="786">
        <f>+J437*G492+E492</f>
        <v>888923.2172605525</v>
      </c>
      <c r="I492" s="787">
        <f>+J438*G492+E492</f>
        <v>888923.2172605525</v>
      </c>
      <c r="J492" s="784">
        <f t="shared" si="42"/>
        <v>0</v>
      </c>
      <c r="K492" s="784"/>
      <c r="L492" s="804"/>
      <c r="M492" s="784">
        <f t="shared" si="36"/>
        <v>0</v>
      </c>
      <c r="N492" s="804"/>
      <c r="O492" s="784">
        <f t="shared" si="37"/>
        <v>0</v>
      </c>
      <c r="P492" s="784">
        <f t="shared" si="38"/>
        <v>0</v>
      </c>
    </row>
    <row r="493" spans="3:16" ht="12.75">
      <c r="C493" s="780">
        <f>IF(D436="","-",+C492+1)</f>
        <v>2066</v>
      </c>
      <c r="D493" s="728">
        <f t="shared" si="39"/>
        <v>4759213.59375</v>
      </c>
      <c r="E493" s="781">
        <f t="shared" si="41"/>
        <v>339943.828125</v>
      </c>
      <c r="F493" s="781">
        <f t="shared" si="35"/>
        <v>4419269.765625</v>
      </c>
      <c r="G493" s="728">
        <f t="shared" si="40"/>
        <v>4589241.6796875</v>
      </c>
      <c r="H493" s="786">
        <f>+J437*G493+E493</f>
        <v>851062.5697339626</v>
      </c>
      <c r="I493" s="787">
        <f>+J438*G493+E493</f>
        <v>851062.5697339626</v>
      </c>
      <c r="J493" s="784">
        <f t="shared" si="42"/>
        <v>0</v>
      </c>
      <c r="K493" s="784"/>
      <c r="L493" s="804"/>
      <c r="M493" s="784">
        <f t="shared" si="36"/>
        <v>0</v>
      </c>
      <c r="N493" s="804"/>
      <c r="O493" s="784">
        <f t="shared" si="37"/>
        <v>0</v>
      </c>
      <c r="P493" s="784">
        <f t="shared" si="38"/>
        <v>0</v>
      </c>
    </row>
    <row r="494" spans="3:16" ht="12.75">
      <c r="C494" s="780">
        <f>IF(D436="","-",+C493+1)</f>
        <v>2067</v>
      </c>
      <c r="D494" s="728">
        <f t="shared" si="39"/>
        <v>4419269.765625</v>
      </c>
      <c r="E494" s="781">
        <f t="shared" si="41"/>
        <v>339943.828125</v>
      </c>
      <c r="F494" s="781">
        <f t="shared" si="35"/>
        <v>4079325.9375</v>
      </c>
      <c r="G494" s="728">
        <f t="shared" si="40"/>
        <v>4249297.8515625</v>
      </c>
      <c r="H494" s="786">
        <f>+J437*G494+E494</f>
        <v>813201.9222073727</v>
      </c>
      <c r="I494" s="787">
        <f>+J438*G494+E494</f>
        <v>813201.9222073727</v>
      </c>
      <c r="J494" s="784">
        <f t="shared" si="42"/>
        <v>0</v>
      </c>
      <c r="K494" s="784"/>
      <c r="L494" s="804"/>
      <c r="M494" s="784">
        <f t="shared" si="36"/>
        <v>0</v>
      </c>
      <c r="N494" s="804"/>
      <c r="O494" s="784">
        <f t="shared" si="37"/>
        <v>0</v>
      </c>
      <c r="P494" s="784">
        <f t="shared" si="38"/>
        <v>0</v>
      </c>
    </row>
    <row r="495" spans="3:16" ht="12.75">
      <c r="C495" s="780">
        <f>IF(D436="","-",+C494+1)</f>
        <v>2068</v>
      </c>
      <c r="D495" s="728">
        <f t="shared" si="39"/>
        <v>4079325.9375</v>
      </c>
      <c r="E495" s="781">
        <f t="shared" si="41"/>
        <v>339943.828125</v>
      </c>
      <c r="F495" s="781">
        <f t="shared" si="35"/>
        <v>3739382.109375</v>
      </c>
      <c r="G495" s="728">
        <f t="shared" si="40"/>
        <v>3909354.0234375</v>
      </c>
      <c r="H495" s="786">
        <f>+J437*G495+E495</f>
        <v>775341.274680783</v>
      </c>
      <c r="I495" s="787">
        <f>+J438*G495+E495</f>
        <v>775341.274680783</v>
      </c>
      <c r="J495" s="784">
        <f t="shared" si="42"/>
        <v>0</v>
      </c>
      <c r="K495" s="784"/>
      <c r="L495" s="804"/>
      <c r="M495" s="784">
        <f t="shared" si="36"/>
        <v>0</v>
      </c>
      <c r="N495" s="804"/>
      <c r="O495" s="784">
        <f t="shared" si="37"/>
        <v>0</v>
      </c>
      <c r="P495" s="784">
        <f t="shared" si="38"/>
        <v>0</v>
      </c>
    </row>
    <row r="496" spans="3:16" ht="12.75">
      <c r="C496" s="780">
        <f>IF(D436="","-",+C495+1)</f>
        <v>2069</v>
      </c>
      <c r="D496" s="728">
        <f aca="true" t="shared" si="43" ref="D496:D501">F495</f>
        <v>3739382.109375</v>
      </c>
      <c r="E496" s="781">
        <f t="shared" si="41"/>
        <v>339943.828125</v>
      </c>
      <c r="F496" s="781">
        <f t="shared" si="35"/>
        <v>3399438.28125</v>
      </c>
      <c r="G496" s="728">
        <f t="shared" si="40"/>
        <v>3569410.1953125</v>
      </c>
      <c r="H496" s="786">
        <f>+J437*G496+E496</f>
        <v>737480.6271541931</v>
      </c>
      <c r="I496" s="787">
        <f>+J438*G496+E496</f>
        <v>737480.6271541931</v>
      </c>
      <c r="J496" s="784">
        <f t="shared" si="42"/>
        <v>0</v>
      </c>
      <c r="K496" s="784"/>
      <c r="L496" s="804"/>
      <c r="M496" s="784">
        <f t="shared" si="36"/>
        <v>0</v>
      </c>
      <c r="N496" s="804"/>
      <c r="O496" s="784">
        <f t="shared" si="37"/>
        <v>0</v>
      </c>
      <c r="P496" s="784">
        <f t="shared" si="38"/>
        <v>0</v>
      </c>
    </row>
    <row r="497" spans="3:16" ht="12.75">
      <c r="C497" s="780">
        <f>IF(D436="","-",+C496+1)</f>
        <v>2070</v>
      </c>
      <c r="D497" s="728">
        <f t="shared" si="43"/>
        <v>3399438.28125</v>
      </c>
      <c r="E497" s="781">
        <f t="shared" si="41"/>
        <v>339943.828125</v>
      </c>
      <c r="F497" s="781">
        <f t="shared" si="35"/>
        <v>3059494.453125</v>
      </c>
      <c r="G497" s="728">
        <f t="shared" si="40"/>
        <v>3229466.3671875</v>
      </c>
      <c r="H497" s="786">
        <f>+J437*G497+E497</f>
        <v>699619.9796276033</v>
      </c>
      <c r="I497" s="787">
        <f>+J438*G497+E497</f>
        <v>699619.9796276033</v>
      </c>
      <c r="J497" s="784">
        <f t="shared" si="42"/>
        <v>0</v>
      </c>
      <c r="K497" s="784"/>
      <c r="L497" s="804"/>
      <c r="M497" s="784">
        <f t="shared" si="36"/>
        <v>0</v>
      </c>
      <c r="N497" s="804"/>
      <c r="O497" s="784">
        <f t="shared" si="37"/>
        <v>0</v>
      </c>
      <c r="P497" s="784">
        <f t="shared" si="38"/>
        <v>0</v>
      </c>
    </row>
    <row r="498" spans="3:16" ht="12.75">
      <c r="C498" s="780">
        <f>IF(D436="","-",+C497+1)</f>
        <v>2071</v>
      </c>
      <c r="D498" s="728">
        <f t="shared" si="43"/>
        <v>3059494.453125</v>
      </c>
      <c r="E498" s="781">
        <f t="shared" si="41"/>
        <v>339943.828125</v>
      </c>
      <c r="F498" s="781">
        <f t="shared" si="35"/>
        <v>2719550.625</v>
      </c>
      <c r="G498" s="728">
        <f t="shared" si="40"/>
        <v>2889522.5390625</v>
      </c>
      <c r="H498" s="786">
        <f>+J437*G498+E498</f>
        <v>661759.3321010135</v>
      </c>
      <c r="I498" s="787">
        <f>+J438*G498+E498</f>
        <v>661759.3321010135</v>
      </c>
      <c r="J498" s="784">
        <f t="shared" si="42"/>
        <v>0</v>
      </c>
      <c r="K498" s="784"/>
      <c r="L498" s="804"/>
      <c r="M498" s="784">
        <f t="shared" si="36"/>
        <v>0</v>
      </c>
      <c r="N498" s="804"/>
      <c r="O498" s="784">
        <f t="shared" si="37"/>
        <v>0</v>
      </c>
      <c r="P498" s="784">
        <f t="shared" si="38"/>
        <v>0</v>
      </c>
    </row>
    <row r="499" spans="3:16" ht="12.75">
      <c r="C499" s="780">
        <f>IF(D436="","-",+C498+1)</f>
        <v>2072</v>
      </c>
      <c r="D499" s="728">
        <f t="shared" si="43"/>
        <v>2719550.625</v>
      </c>
      <c r="E499" s="781">
        <f t="shared" si="41"/>
        <v>339943.828125</v>
      </c>
      <c r="F499" s="781">
        <f t="shared" si="35"/>
        <v>2379606.796875</v>
      </c>
      <c r="G499" s="728">
        <f t="shared" si="40"/>
        <v>2549578.7109375</v>
      </c>
      <c r="H499" s="786">
        <f>+J437*G499+E499</f>
        <v>623898.6845744237</v>
      </c>
      <c r="I499" s="787">
        <f>+J438*G499+E499</f>
        <v>623898.6845744237</v>
      </c>
      <c r="J499" s="784">
        <f t="shared" si="42"/>
        <v>0</v>
      </c>
      <c r="K499" s="784"/>
      <c r="L499" s="804"/>
      <c r="M499" s="784">
        <f t="shared" si="36"/>
        <v>0</v>
      </c>
      <c r="N499" s="804"/>
      <c r="O499" s="784">
        <f t="shared" si="37"/>
        <v>0</v>
      </c>
      <c r="P499" s="784">
        <f t="shared" si="38"/>
        <v>0</v>
      </c>
    </row>
    <row r="500" spans="3:16" ht="12.75">
      <c r="C500" s="780">
        <f>IF(D436="","-",+C499+1)</f>
        <v>2073</v>
      </c>
      <c r="D500" s="728">
        <f t="shared" si="43"/>
        <v>2379606.796875</v>
      </c>
      <c r="E500" s="781">
        <f t="shared" si="41"/>
        <v>339943.828125</v>
      </c>
      <c r="F500" s="781">
        <f t="shared" si="35"/>
        <v>2039662.96875</v>
      </c>
      <c r="G500" s="728">
        <f t="shared" si="40"/>
        <v>2209634.8828125</v>
      </c>
      <c r="H500" s="786">
        <f>+J437*G500+E500</f>
        <v>586038.0370478339</v>
      </c>
      <c r="I500" s="787">
        <f>+J438*G500+E500</f>
        <v>586038.0370478339</v>
      </c>
      <c r="J500" s="784">
        <f t="shared" si="42"/>
        <v>0</v>
      </c>
      <c r="K500" s="784"/>
      <c r="L500" s="804"/>
      <c r="M500" s="784">
        <f t="shared" si="36"/>
        <v>0</v>
      </c>
      <c r="N500" s="804"/>
      <c r="O500" s="784">
        <f t="shared" si="37"/>
        <v>0</v>
      </c>
      <c r="P500" s="784">
        <f t="shared" si="38"/>
        <v>0</v>
      </c>
    </row>
    <row r="501" spans="3:16" ht="13.5" thickBot="1">
      <c r="C501" s="790">
        <f>IF(D436="","-",+C500+1)</f>
        <v>2074</v>
      </c>
      <c r="D501" s="791">
        <f t="shared" si="43"/>
        <v>2039662.96875</v>
      </c>
      <c r="E501" s="781">
        <f t="shared" si="41"/>
        <v>339943.828125</v>
      </c>
      <c r="F501" s="792">
        <f t="shared" si="35"/>
        <v>1699719.140625</v>
      </c>
      <c r="G501" s="791">
        <f t="shared" si="40"/>
        <v>1869691.0546875</v>
      </c>
      <c r="H501" s="793">
        <f>+J437*G501+E501</f>
        <v>548177.389521244</v>
      </c>
      <c r="I501" s="793">
        <f>+J438*G501+E501</f>
        <v>548177.389521244</v>
      </c>
      <c r="J501" s="794">
        <f t="shared" si="42"/>
        <v>0</v>
      </c>
      <c r="K501" s="784"/>
      <c r="L501" s="805"/>
      <c r="M501" s="794">
        <f t="shared" si="36"/>
        <v>0</v>
      </c>
      <c r="N501" s="805"/>
      <c r="O501" s="794">
        <f t="shared" si="37"/>
        <v>0</v>
      </c>
      <c r="P501" s="794">
        <f t="shared" si="38"/>
        <v>0</v>
      </c>
    </row>
    <row r="502" spans="3:15" ht="12.75">
      <c r="C502" s="728" t="s">
        <v>92</v>
      </c>
      <c r="D502" s="722"/>
      <c r="E502" s="722">
        <f>SUM(E442:E501)</f>
        <v>20056685.859375</v>
      </c>
      <c r="F502" s="722"/>
      <c r="G502" s="722"/>
      <c r="H502" s="722">
        <f>SUM(H442:H501)</f>
        <v>99545115.34145033</v>
      </c>
      <c r="I502" s="722">
        <f>SUM(I442:I501)</f>
        <v>99545115.34145033</v>
      </c>
      <c r="J502" s="722">
        <f>SUM(J442:J501)</f>
        <v>0</v>
      </c>
      <c r="K502" s="722"/>
      <c r="L502" s="722"/>
      <c r="M502" s="722"/>
      <c r="N502" s="722"/>
      <c r="O502" s="722"/>
    </row>
    <row r="503" spans="4:15" ht="12.75">
      <c r="D503" s="532"/>
      <c r="E503" s="308"/>
      <c r="F503" s="308"/>
      <c r="G503" s="308"/>
      <c r="H503" s="308"/>
      <c r="I503" s="701"/>
      <c r="J503" s="701"/>
      <c r="K503" s="722"/>
      <c r="L503" s="701"/>
      <c r="M503" s="701"/>
      <c r="N503" s="701"/>
      <c r="O503" s="701"/>
    </row>
    <row r="504" spans="3:15" ht="12.75">
      <c r="C504" s="308" t="s">
        <v>14</v>
      </c>
      <c r="D504" s="532"/>
      <c r="E504" s="308"/>
      <c r="F504" s="308"/>
      <c r="G504" s="308"/>
      <c r="H504" s="308"/>
      <c r="I504" s="701"/>
      <c r="J504" s="701"/>
      <c r="K504" s="722"/>
      <c r="L504" s="701"/>
      <c r="M504" s="701"/>
      <c r="N504" s="701"/>
      <c r="O504" s="701"/>
    </row>
    <row r="505" spans="3:15" ht="12.75">
      <c r="C505" s="308"/>
      <c r="D505" s="532"/>
      <c r="E505" s="308"/>
      <c r="F505" s="308"/>
      <c r="G505" s="308"/>
      <c r="H505" s="308"/>
      <c r="I505" s="701"/>
      <c r="J505" s="701"/>
      <c r="K505" s="722"/>
      <c r="L505" s="701"/>
      <c r="M505" s="701"/>
      <c r="N505" s="701"/>
      <c r="O505" s="701"/>
    </row>
    <row r="506" spans="3:15" ht="12.75">
      <c r="C506" s="741" t="s">
        <v>15</v>
      </c>
      <c r="D506" s="728"/>
      <c r="E506" s="728"/>
      <c r="F506" s="728"/>
      <c r="G506" s="728"/>
      <c r="H506" s="722"/>
      <c r="I506" s="722"/>
      <c r="J506" s="796"/>
      <c r="K506" s="796"/>
      <c r="L506" s="796"/>
      <c r="M506" s="796"/>
      <c r="N506" s="796"/>
      <c r="O506" s="796"/>
    </row>
    <row r="507" spans="3:15" ht="12.75">
      <c r="C507" s="727" t="s">
        <v>272</v>
      </c>
      <c r="D507" s="728"/>
      <c r="E507" s="728"/>
      <c r="F507" s="728"/>
      <c r="G507" s="728"/>
      <c r="H507" s="722"/>
      <c r="I507" s="722"/>
      <c r="J507" s="796"/>
      <c r="K507" s="796"/>
      <c r="L507" s="796"/>
      <c r="M507" s="796"/>
      <c r="N507" s="796"/>
      <c r="O507" s="796"/>
    </row>
    <row r="508" spans="3:15" ht="12.75">
      <c r="C508" s="727" t="s">
        <v>93</v>
      </c>
      <c r="D508" s="728"/>
      <c r="E508" s="728"/>
      <c r="F508" s="728"/>
      <c r="G508" s="728"/>
      <c r="H508" s="722"/>
      <c r="I508" s="722"/>
      <c r="J508" s="796"/>
      <c r="K508" s="796"/>
      <c r="L508" s="796"/>
      <c r="M508" s="796"/>
      <c r="N508" s="796"/>
      <c r="O508" s="796"/>
    </row>
    <row r="509" spans="1:17" ht="20.25">
      <c r="A509" s="729" t="str">
        <f>""&amp;A434&amp;" Worksheet K -  ATRR TRUE-UP Calculation for PJM Projects Charged to Benefiting Zones"</f>
        <v> Worksheet K -  ATRR TRUE-UP Calculation for PJM Projects Charged to Benefiting Zones</v>
      </c>
      <c r="B509" s="341"/>
      <c r="C509" s="717"/>
      <c r="D509" s="532"/>
      <c r="E509" s="308"/>
      <c r="F509" s="700"/>
      <c r="G509" s="700"/>
      <c r="H509" s="308"/>
      <c r="I509" s="701"/>
      <c r="L509" s="557"/>
      <c r="M509" s="557"/>
      <c r="N509" s="557"/>
      <c r="O509" s="646" t="str">
        <f>"Page "&amp;SUM(Q$6:Q509)&amp;" of "</f>
        <v>Page 7 of </v>
      </c>
      <c r="P509" s="647">
        <f>COUNT(Q$6:Q$58387)</f>
        <v>12</v>
      </c>
      <c r="Q509" s="730">
        <v>1</v>
      </c>
    </row>
    <row r="510" spans="2:11" ht="12.75">
      <c r="B510" s="341"/>
      <c r="C510" s="308"/>
      <c r="D510" s="532"/>
      <c r="E510" s="308"/>
      <c r="F510" s="308"/>
      <c r="G510" s="308"/>
      <c r="H510" s="308"/>
      <c r="I510" s="701"/>
      <c r="J510" s="308"/>
      <c r="K510" s="420"/>
    </row>
    <row r="511" spans="2:17" ht="18">
      <c r="B511" s="650" t="s">
        <v>475</v>
      </c>
      <c r="C511" s="731" t="s">
        <v>94</v>
      </c>
      <c r="D511" s="532"/>
      <c r="E511" s="308"/>
      <c r="F511" s="308"/>
      <c r="G511" s="308"/>
      <c r="H511" s="308"/>
      <c r="I511" s="701"/>
      <c r="J511" s="701"/>
      <c r="K511" s="722"/>
      <c r="L511" s="701"/>
      <c r="M511" s="701"/>
      <c r="N511" s="701"/>
      <c r="O511" s="701"/>
      <c r="Q511" s="420"/>
    </row>
    <row r="512" spans="2:15" ht="18.75">
      <c r="B512" s="650"/>
      <c r="C512" s="649"/>
      <c r="D512" s="532"/>
      <c r="E512" s="308"/>
      <c r="F512" s="308"/>
      <c r="G512" s="308"/>
      <c r="H512" s="308"/>
      <c r="I512" s="701"/>
      <c r="J512" s="701"/>
      <c r="K512" s="722"/>
      <c r="L512" s="701"/>
      <c r="M512" s="701"/>
      <c r="N512" s="701"/>
      <c r="O512" s="701"/>
    </row>
    <row r="513" spans="2:15" ht="18.75">
      <c r="B513" s="650"/>
      <c r="C513" s="649" t="s">
        <v>95</v>
      </c>
      <c r="D513" s="532"/>
      <c r="E513" s="308"/>
      <c r="F513" s="308"/>
      <c r="G513" s="308"/>
      <c r="H513" s="308"/>
      <c r="I513" s="701"/>
      <c r="J513" s="701"/>
      <c r="K513" s="722"/>
      <c r="L513" s="701"/>
      <c r="M513" s="701"/>
      <c r="N513" s="701"/>
      <c r="O513" s="701"/>
    </row>
    <row r="514" spans="3:15" ht="15.75" thickBot="1">
      <c r="C514" s="236"/>
      <c r="D514" s="532"/>
      <c r="E514" s="308"/>
      <c r="F514" s="308"/>
      <c r="G514" s="308"/>
      <c r="H514" s="308"/>
      <c r="I514" s="701"/>
      <c r="J514" s="701"/>
      <c r="K514" s="722"/>
      <c r="L514" s="701"/>
      <c r="M514" s="701"/>
      <c r="N514" s="701"/>
      <c r="O514" s="701"/>
    </row>
    <row r="515" spans="3:15" ht="15.75">
      <c r="C515" s="652" t="s">
        <v>96</v>
      </c>
      <c r="D515" s="532"/>
      <c r="E515" s="308"/>
      <c r="F515" s="308"/>
      <c r="G515" s="308"/>
      <c r="H515" s="798"/>
      <c r="I515" s="308" t="s">
        <v>75</v>
      </c>
      <c r="J515" s="308"/>
      <c r="K515" s="420"/>
      <c r="L515" s="827">
        <f>+J521</f>
        <v>2017</v>
      </c>
      <c r="M515" s="808" t="s">
        <v>53</v>
      </c>
      <c r="N515" s="808" t="s">
        <v>54</v>
      </c>
      <c r="O515" s="809" t="s">
        <v>56</v>
      </c>
    </row>
    <row r="516" spans="3:15" ht="15.75">
      <c r="C516" s="652"/>
      <c r="D516" s="532"/>
      <c r="E516" s="308"/>
      <c r="F516" s="308"/>
      <c r="H516" s="308"/>
      <c r="I516" s="736"/>
      <c r="J516" s="736"/>
      <c r="K516" s="737"/>
      <c r="L516" s="828" t="s">
        <v>244</v>
      </c>
      <c r="M516" s="829">
        <f>VLOOKUP(J521,C528:P587,10)</f>
        <v>174707</v>
      </c>
      <c r="N516" s="829">
        <f>VLOOKUP(J521,C528:P587,12)</f>
        <v>174707</v>
      </c>
      <c r="O516" s="830">
        <f>+N516-M516</f>
        <v>0</v>
      </c>
    </row>
    <row r="517" spans="3:15" ht="12.75" customHeight="1">
      <c r="C517" s="741" t="s">
        <v>97</v>
      </c>
      <c r="D517" s="1472" t="s">
        <v>893</v>
      </c>
      <c r="E517" s="1472"/>
      <c r="F517" s="1472"/>
      <c r="G517" s="1472"/>
      <c r="H517" s="1472"/>
      <c r="I517" s="1472"/>
      <c r="J517" s="1472"/>
      <c r="K517" s="722"/>
      <c r="L517" s="828" t="s">
        <v>245</v>
      </c>
      <c r="M517" s="831">
        <f>VLOOKUP(J521,C528:P587,6)</f>
        <v>181051.44980484137</v>
      </c>
      <c r="N517" s="831">
        <f>VLOOKUP(J521,C528:P587,7)</f>
        <v>181051.44980484137</v>
      </c>
      <c r="O517" s="832">
        <f>+N517-M517</f>
        <v>0</v>
      </c>
    </row>
    <row r="518" spans="3:15" ht="13.5" thickBot="1">
      <c r="C518" s="745"/>
      <c r="D518" s="1472"/>
      <c r="E518" s="1472"/>
      <c r="F518" s="1472"/>
      <c r="G518" s="1472"/>
      <c r="H518" s="1472"/>
      <c r="I518" s="1472"/>
      <c r="J518" s="1472"/>
      <c r="K518" s="722"/>
      <c r="L518" s="764" t="s">
        <v>246</v>
      </c>
      <c r="M518" s="833">
        <f>+M517-M516</f>
        <v>6344.449804841366</v>
      </c>
      <c r="N518" s="833">
        <f>+N517-N516</f>
        <v>6344.449804841366</v>
      </c>
      <c r="O518" s="834">
        <f>+O517-O516</f>
        <v>0</v>
      </c>
    </row>
    <row r="519" spans="3:16" ht="13.5" thickBot="1">
      <c r="C519" s="748"/>
      <c r="D519" s="749"/>
      <c r="E519" s="747"/>
      <c r="F519" s="747"/>
      <c r="G519" s="747"/>
      <c r="H519" s="747"/>
      <c r="I519" s="747"/>
      <c r="J519" s="747"/>
      <c r="K519" s="750"/>
      <c r="L519" s="747"/>
      <c r="M519" s="747"/>
      <c r="N519" s="747"/>
      <c r="O519" s="747"/>
      <c r="P519" s="341"/>
    </row>
    <row r="520" spans="3:16" ht="13.5" thickBot="1">
      <c r="C520" s="751" t="s">
        <v>98</v>
      </c>
      <c r="D520" s="752"/>
      <c r="E520" s="752"/>
      <c r="F520" s="752"/>
      <c r="G520" s="752"/>
      <c r="H520" s="752"/>
      <c r="I520" s="752"/>
      <c r="J520" s="752"/>
      <c r="K520" s="754"/>
      <c r="P520" s="755"/>
    </row>
    <row r="521" spans="3:16" ht="15">
      <c r="C521" s="756" t="s">
        <v>76</v>
      </c>
      <c r="D521" s="1371">
        <v>1465792</v>
      </c>
      <c r="E521" s="717" t="s">
        <v>77</v>
      </c>
      <c r="H521" s="757"/>
      <c r="I521" s="757"/>
      <c r="J521" s="758">
        <v>2017</v>
      </c>
      <c r="K521" s="548"/>
      <c r="L521" s="1462" t="s">
        <v>78</v>
      </c>
      <c r="M521" s="1462"/>
      <c r="N521" s="1462"/>
      <c r="O521" s="1462"/>
      <c r="P521" s="420"/>
    </row>
    <row r="522" spans="3:16" ht="12.75">
      <c r="C522" s="756" t="s">
        <v>79</v>
      </c>
      <c r="D522" s="1372">
        <v>2015</v>
      </c>
      <c r="E522" s="756" t="s">
        <v>80</v>
      </c>
      <c r="F522" s="757"/>
      <c r="G522" s="757"/>
      <c r="I522" s="169"/>
      <c r="J522" s="802">
        <f>IF(H515="",0,$F$15)</f>
        <v>0</v>
      </c>
      <c r="K522" s="759"/>
      <c r="L522" s="722" t="s">
        <v>286</v>
      </c>
      <c r="P522" s="420"/>
    </row>
    <row r="523" spans="3:16" ht="12.75">
      <c r="C523" s="756" t="s">
        <v>81</v>
      </c>
      <c r="D523" s="1371">
        <v>6</v>
      </c>
      <c r="E523" s="756" t="s">
        <v>82</v>
      </c>
      <c r="F523" s="757"/>
      <c r="G523" s="757"/>
      <c r="I523" s="169"/>
      <c r="J523" s="760">
        <f>$F$68</f>
        <v>0.11137324579597359</v>
      </c>
      <c r="K523" s="761"/>
      <c r="L523" s="308" t="str">
        <f>"          INPUT TRUE-UP ARR (WITH &amp; WITHOUT INCENTIVES) FROM EACH PRIOR YEAR"</f>
        <v>          INPUT TRUE-UP ARR (WITH &amp; WITHOUT INCENTIVES) FROM EACH PRIOR YEAR</v>
      </c>
      <c r="P523" s="420"/>
    </row>
    <row r="524" spans="3:16" ht="12.75">
      <c r="C524" s="756" t="s">
        <v>83</v>
      </c>
      <c r="D524" s="762">
        <f>H$77</f>
        <v>64</v>
      </c>
      <c r="E524" s="756" t="s">
        <v>84</v>
      </c>
      <c r="F524" s="757"/>
      <c r="G524" s="757"/>
      <c r="I524" s="169"/>
      <c r="J524" s="760">
        <f>IF(H515="",+J523,$F$67)</f>
        <v>0.11137324579597359</v>
      </c>
      <c r="K524" s="763"/>
      <c r="L524" s="308" t="s">
        <v>166</v>
      </c>
      <c r="M524" s="763"/>
      <c r="N524" s="763"/>
      <c r="O524" s="763"/>
      <c r="P524" s="420"/>
    </row>
    <row r="525" spans="3:16" ht="13.5" thickBot="1">
      <c r="C525" s="756" t="s">
        <v>85</v>
      </c>
      <c r="D525" s="799" t="s">
        <v>877</v>
      </c>
      <c r="E525" s="764" t="s">
        <v>86</v>
      </c>
      <c r="F525" s="765"/>
      <c r="G525" s="765"/>
      <c r="H525" s="766"/>
      <c r="I525" s="766"/>
      <c r="J525" s="744">
        <f>IF(D521=0,0,D521/D524)</f>
        <v>22903</v>
      </c>
      <c r="K525" s="722"/>
      <c r="L525" s="722" t="s">
        <v>167</v>
      </c>
      <c r="M525" s="722"/>
      <c r="N525" s="722"/>
      <c r="O525" s="722"/>
      <c r="P525" s="420"/>
    </row>
    <row r="526" spans="2:16" ht="38.25">
      <c r="B526" s="837"/>
      <c r="C526" s="767" t="s">
        <v>76</v>
      </c>
      <c r="D526" s="768" t="s">
        <v>87</v>
      </c>
      <c r="E526" s="769" t="s">
        <v>88</v>
      </c>
      <c r="F526" s="768" t="s">
        <v>89</v>
      </c>
      <c r="G526" s="768" t="s">
        <v>247</v>
      </c>
      <c r="H526" s="769" t="s">
        <v>160</v>
      </c>
      <c r="I526" s="770" t="s">
        <v>160</v>
      </c>
      <c r="J526" s="767" t="s">
        <v>99</v>
      </c>
      <c r="K526" s="771"/>
      <c r="L526" s="769" t="s">
        <v>162</v>
      </c>
      <c r="M526" s="769" t="s">
        <v>168</v>
      </c>
      <c r="N526" s="769" t="s">
        <v>162</v>
      </c>
      <c r="O526" s="769" t="s">
        <v>170</v>
      </c>
      <c r="P526" s="769" t="s">
        <v>90</v>
      </c>
    </row>
    <row r="527" spans="3:16" ht="13.5" thickBot="1">
      <c r="C527" s="773" t="s">
        <v>478</v>
      </c>
      <c r="D527" s="774" t="s">
        <v>479</v>
      </c>
      <c r="E527" s="773" t="s">
        <v>372</v>
      </c>
      <c r="F527" s="774" t="s">
        <v>479</v>
      </c>
      <c r="G527" s="774" t="s">
        <v>479</v>
      </c>
      <c r="H527" s="775" t="s">
        <v>102</v>
      </c>
      <c r="I527" s="776" t="s">
        <v>104</v>
      </c>
      <c r="J527" s="777" t="s">
        <v>16</v>
      </c>
      <c r="K527" s="778"/>
      <c r="L527" s="775" t="s">
        <v>91</v>
      </c>
      <c r="M527" s="775" t="s">
        <v>91</v>
      </c>
      <c r="N527" s="775" t="s">
        <v>264</v>
      </c>
      <c r="O527" s="775" t="s">
        <v>264</v>
      </c>
      <c r="P527" s="775" t="s">
        <v>264</v>
      </c>
    </row>
    <row r="528" spans="3:16" ht="12.75">
      <c r="C528" s="780">
        <f>IF(D522="","-",D522)</f>
        <v>2015</v>
      </c>
      <c r="D528" s="728">
        <f>+D521</f>
        <v>1465792</v>
      </c>
      <c r="E528" s="786">
        <f>+J525/12*(12-D523)</f>
        <v>11451.5</v>
      </c>
      <c r="F528" s="835">
        <f aca="true" t="shared" si="44" ref="F528:F587">+D528-E528</f>
        <v>1454340.5</v>
      </c>
      <c r="G528" s="728">
        <f>+(D528+F528)/2</f>
        <v>1460066.25</v>
      </c>
      <c r="H528" s="782">
        <f>+J523*G528+E528</f>
        <v>174063.81733965542</v>
      </c>
      <c r="I528" s="783">
        <f>+J524*G528+E528</f>
        <v>174063.81733965542</v>
      </c>
      <c r="J528" s="784">
        <f>+I528-H528</f>
        <v>0</v>
      </c>
      <c r="K528" s="784"/>
      <c r="L528" s="803">
        <v>231097</v>
      </c>
      <c r="M528" s="836">
        <f aca="true" t="shared" si="45" ref="M528:M587">IF(L528&lt;&gt;0,+H528-L528,0)</f>
        <v>-57033.18266034458</v>
      </c>
      <c r="N528" s="803">
        <v>231097</v>
      </c>
      <c r="O528" s="836">
        <f aca="true" t="shared" si="46" ref="O528:O587">IF(N528&lt;&gt;0,+I528-N528,0)</f>
        <v>-57033.18266034458</v>
      </c>
      <c r="P528" s="836">
        <f aca="true" t="shared" si="47" ref="P528:P587">+O528-M528</f>
        <v>0</v>
      </c>
    </row>
    <row r="529" spans="3:16" ht="12.75">
      <c r="C529" s="1308">
        <f>IF(D522="","-",+C528+1)</f>
        <v>2016</v>
      </c>
      <c r="D529" s="728">
        <f aca="true" t="shared" si="48" ref="D529:D581">F528</f>
        <v>1454340.5</v>
      </c>
      <c r="E529" s="781">
        <f>IF(D529&gt;$J$525,$J$525,D529)</f>
        <v>22903</v>
      </c>
      <c r="F529" s="781">
        <f t="shared" si="44"/>
        <v>1431437.5</v>
      </c>
      <c r="G529" s="728">
        <f aca="true" t="shared" si="49" ref="G529:G587">+(D529+F529)/2</f>
        <v>1442889</v>
      </c>
      <c r="H529" s="786">
        <f>+J523*G529+E529</f>
        <v>183602.23125330653</v>
      </c>
      <c r="I529" s="787">
        <f>+J524*G529+E529</f>
        <v>183602.23125330653</v>
      </c>
      <c r="J529" s="784">
        <f>+I529-H529</f>
        <v>0</v>
      </c>
      <c r="K529" s="784"/>
      <c r="L529" s="804">
        <v>145269</v>
      </c>
      <c r="M529" s="784">
        <f t="shared" si="45"/>
        <v>38333.23125330653</v>
      </c>
      <c r="N529" s="804">
        <v>145269</v>
      </c>
      <c r="O529" s="784">
        <f t="shared" si="46"/>
        <v>38333.23125330653</v>
      </c>
      <c r="P529" s="784">
        <f t="shared" si="47"/>
        <v>0</v>
      </c>
    </row>
    <row r="530" spans="3:16" ht="12.75">
      <c r="C530" s="1373">
        <f>IF(D522="","-",+C529+1)</f>
        <v>2017</v>
      </c>
      <c r="D530" s="728">
        <f t="shared" si="48"/>
        <v>1431437.5</v>
      </c>
      <c r="E530" s="781">
        <f aca="true" t="shared" si="50" ref="E530:E587">IF(D530&gt;$J$525,$J$525,D530)</f>
        <v>22903</v>
      </c>
      <c r="F530" s="781">
        <f t="shared" si="44"/>
        <v>1408534.5</v>
      </c>
      <c r="G530" s="728">
        <f t="shared" si="49"/>
        <v>1419986</v>
      </c>
      <c r="H530" s="786">
        <f>+J523*G530+E530</f>
        <v>181051.44980484137</v>
      </c>
      <c r="I530" s="787">
        <f>+J524*G530+E530</f>
        <v>181051.44980484137</v>
      </c>
      <c r="J530" s="784">
        <f aca="true" t="shared" si="51" ref="J530:J587">+I530-H530</f>
        <v>0</v>
      </c>
      <c r="K530" s="784"/>
      <c r="L530" s="804">
        <v>174707</v>
      </c>
      <c r="M530" s="784">
        <f t="shared" si="45"/>
        <v>6344.449804841366</v>
      </c>
      <c r="N530" s="804">
        <v>174707</v>
      </c>
      <c r="O530" s="784">
        <f t="shared" si="46"/>
        <v>6344.449804841366</v>
      </c>
      <c r="P530" s="784">
        <f t="shared" si="47"/>
        <v>0</v>
      </c>
    </row>
    <row r="531" spans="3:16" ht="12.75">
      <c r="C531" s="1308">
        <f>IF(D522="","-",+C530+1)</f>
        <v>2018</v>
      </c>
      <c r="D531" s="728">
        <f t="shared" si="48"/>
        <v>1408534.5</v>
      </c>
      <c r="E531" s="781">
        <f t="shared" si="50"/>
        <v>22903</v>
      </c>
      <c r="F531" s="781">
        <f t="shared" si="44"/>
        <v>1385631.5</v>
      </c>
      <c r="G531" s="728">
        <f t="shared" si="49"/>
        <v>1397083</v>
      </c>
      <c r="H531" s="786">
        <f>+J523*G531+E531</f>
        <v>178500.66835637618</v>
      </c>
      <c r="I531" s="787">
        <f>+J524*G531+E531</f>
        <v>178500.66835637618</v>
      </c>
      <c r="J531" s="784">
        <f t="shared" si="51"/>
        <v>0</v>
      </c>
      <c r="K531" s="784"/>
      <c r="L531" s="804"/>
      <c r="M531" s="784">
        <f t="shared" si="45"/>
        <v>0</v>
      </c>
      <c r="N531" s="804"/>
      <c r="O531" s="784">
        <f t="shared" si="46"/>
        <v>0</v>
      </c>
      <c r="P531" s="784">
        <f t="shared" si="47"/>
        <v>0</v>
      </c>
    </row>
    <row r="532" spans="3:16" ht="12.75">
      <c r="C532" s="1308">
        <f>IF(D522="","-",+C531+1)</f>
        <v>2019</v>
      </c>
      <c r="D532" s="728">
        <f t="shared" si="48"/>
        <v>1385631.5</v>
      </c>
      <c r="E532" s="781">
        <f t="shared" si="50"/>
        <v>22903</v>
      </c>
      <c r="F532" s="781">
        <f t="shared" si="44"/>
        <v>1362728.5</v>
      </c>
      <c r="G532" s="728">
        <f t="shared" si="49"/>
        <v>1374180</v>
      </c>
      <c r="H532" s="786">
        <f>+J523*G532+E532</f>
        <v>175949.886907911</v>
      </c>
      <c r="I532" s="787">
        <f>+J524*G532+E532</f>
        <v>175949.886907911</v>
      </c>
      <c r="J532" s="784">
        <f t="shared" si="51"/>
        <v>0</v>
      </c>
      <c r="K532" s="784"/>
      <c r="L532" s="804"/>
      <c r="M532" s="784">
        <f t="shared" si="45"/>
        <v>0</v>
      </c>
      <c r="N532" s="804"/>
      <c r="O532" s="784">
        <f t="shared" si="46"/>
        <v>0</v>
      </c>
      <c r="P532" s="784">
        <f t="shared" si="47"/>
        <v>0</v>
      </c>
    </row>
    <row r="533" spans="3:16" ht="12.75">
      <c r="C533" s="780">
        <f>IF(D522="","-",+C532+1)</f>
        <v>2020</v>
      </c>
      <c r="D533" s="728">
        <f t="shared" si="48"/>
        <v>1362728.5</v>
      </c>
      <c r="E533" s="781">
        <f t="shared" si="50"/>
        <v>22903</v>
      </c>
      <c r="F533" s="781">
        <f t="shared" si="44"/>
        <v>1339825.5</v>
      </c>
      <c r="G533" s="728">
        <f t="shared" si="49"/>
        <v>1351277</v>
      </c>
      <c r="H533" s="786">
        <f>+J523*G533+E533</f>
        <v>173399.1054594458</v>
      </c>
      <c r="I533" s="787">
        <f>+J524*G533+E533</f>
        <v>173399.1054594458</v>
      </c>
      <c r="J533" s="784">
        <f t="shared" si="51"/>
        <v>0</v>
      </c>
      <c r="K533" s="784"/>
      <c r="L533" s="804"/>
      <c r="M533" s="784">
        <f t="shared" si="45"/>
        <v>0</v>
      </c>
      <c r="N533" s="804"/>
      <c r="O533" s="784">
        <f t="shared" si="46"/>
        <v>0</v>
      </c>
      <c r="P533" s="784">
        <f t="shared" si="47"/>
        <v>0</v>
      </c>
    </row>
    <row r="534" spans="3:16" ht="12.75">
      <c r="C534" s="780">
        <f>IF(D522="","-",+C533+1)</f>
        <v>2021</v>
      </c>
      <c r="D534" s="728">
        <f t="shared" si="48"/>
        <v>1339825.5</v>
      </c>
      <c r="E534" s="781">
        <f t="shared" si="50"/>
        <v>22903</v>
      </c>
      <c r="F534" s="781">
        <f t="shared" si="44"/>
        <v>1316922.5</v>
      </c>
      <c r="G534" s="728">
        <f t="shared" si="49"/>
        <v>1328374</v>
      </c>
      <c r="H534" s="786">
        <f>+J523*G534+E534</f>
        <v>170848.3240109806</v>
      </c>
      <c r="I534" s="787">
        <f>+J524*G534+E534</f>
        <v>170848.3240109806</v>
      </c>
      <c r="J534" s="784">
        <f t="shared" si="51"/>
        <v>0</v>
      </c>
      <c r="K534" s="784"/>
      <c r="L534" s="804"/>
      <c r="M534" s="784">
        <f t="shared" si="45"/>
        <v>0</v>
      </c>
      <c r="N534" s="804"/>
      <c r="O534" s="784">
        <f t="shared" si="46"/>
        <v>0</v>
      </c>
      <c r="P534" s="784">
        <f t="shared" si="47"/>
        <v>0</v>
      </c>
    </row>
    <row r="535" spans="3:16" ht="12.75">
      <c r="C535" s="780">
        <f>IF(D522="","-",+C534+1)</f>
        <v>2022</v>
      </c>
      <c r="D535" s="728">
        <f t="shared" si="48"/>
        <v>1316922.5</v>
      </c>
      <c r="E535" s="781">
        <f t="shared" si="50"/>
        <v>22903</v>
      </c>
      <c r="F535" s="781">
        <f t="shared" si="44"/>
        <v>1294019.5</v>
      </c>
      <c r="G535" s="728">
        <f t="shared" si="49"/>
        <v>1305471</v>
      </c>
      <c r="H535" s="786">
        <f>+J523*G535+E535</f>
        <v>168297.54256251545</v>
      </c>
      <c r="I535" s="787">
        <f>+J524*G535+E535</f>
        <v>168297.54256251545</v>
      </c>
      <c r="J535" s="784">
        <f t="shared" si="51"/>
        <v>0</v>
      </c>
      <c r="K535" s="784"/>
      <c r="L535" s="804"/>
      <c r="M535" s="784">
        <f t="shared" si="45"/>
        <v>0</v>
      </c>
      <c r="N535" s="804"/>
      <c r="O535" s="784">
        <f t="shared" si="46"/>
        <v>0</v>
      </c>
      <c r="P535" s="784">
        <f t="shared" si="47"/>
        <v>0</v>
      </c>
    </row>
    <row r="536" spans="3:16" ht="12.75">
      <c r="C536" s="780">
        <f>IF(D522="","-",+C535+1)</f>
        <v>2023</v>
      </c>
      <c r="D536" s="728">
        <f t="shared" si="48"/>
        <v>1294019.5</v>
      </c>
      <c r="E536" s="781">
        <f t="shared" si="50"/>
        <v>22903</v>
      </c>
      <c r="F536" s="781">
        <f t="shared" si="44"/>
        <v>1271116.5</v>
      </c>
      <c r="G536" s="728">
        <f t="shared" si="49"/>
        <v>1282568</v>
      </c>
      <c r="H536" s="786">
        <f>+J523*G536+E536</f>
        <v>165746.76111405026</v>
      </c>
      <c r="I536" s="787">
        <f>+J524*G536+E536</f>
        <v>165746.76111405026</v>
      </c>
      <c r="J536" s="784">
        <f t="shared" si="51"/>
        <v>0</v>
      </c>
      <c r="K536" s="784"/>
      <c r="L536" s="804"/>
      <c r="M536" s="784">
        <f t="shared" si="45"/>
        <v>0</v>
      </c>
      <c r="N536" s="804"/>
      <c r="O536" s="784">
        <f t="shared" si="46"/>
        <v>0</v>
      </c>
      <c r="P536" s="784">
        <f t="shared" si="47"/>
        <v>0</v>
      </c>
    </row>
    <row r="537" spans="3:16" ht="12.75">
      <c r="C537" s="780">
        <f>IF(D522="","-",+C536+1)</f>
        <v>2024</v>
      </c>
      <c r="D537" s="728">
        <f t="shared" si="48"/>
        <v>1271116.5</v>
      </c>
      <c r="E537" s="781">
        <f t="shared" si="50"/>
        <v>22903</v>
      </c>
      <c r="F537" s="781">
        <f t="shared" si="44"/>
        <v>1248213.5</v>
      </c>
      <c r="G537" s="728">
        <f t="shared" si="49"/>
        <v>1259665</v>
      </c>
      <c r="H537" s="786">
        <f>+J523*G537+E537</f>
        <v>163195.97966558507</v>
      </c>
      <c r="I537" s="787">
        <f>+J524*G537+E537</f>
        <v>163195.97966558507</v>
      </c>
      <c r="J537" s="784">
        <f t="shared" si="51"/>
        <v>0</v>
      </c>
      <c r="K537" s="784"/>
      <c r="L537" s="804"/>
      <c r="M537" s="784">
        <f t="shared" si="45"/>
        <v>0</v>
      </c>
      <c r="N537" s="804"/>
      <c r="O537" s="784">
        <f t="shared" si="46"/>
        <v>0</v>
      </c>
      <c r="P537" s="784">
        <f t="shared" si="47"/>
        <v>0</v>
      </c>
    </row>
    <row r="538" spans="3:16" ht="12.75">
      <c r="C538" s="780">
        <f>IF(D522="","-",+C537+1)</f>
        <v>2025</v>
      </c>
      <c r="D538" s="728">
        <f t="shared" si="48"/>
        <v>1248213.5</v>
      </c>
      <c r="E538" s="781">
        <f t="shared" si="50"/>
        <v>22903</v>
      </c>
      <c r="F538" s="781">
        <f t="shared" si="44"/>
        <v>1225310.5</v>
      </c>
      <c r="G538" s="728">
        <f t="shared" si="49"/>
        <v>1236762</v>
      </c>
      <c r="H538" s="786">
        <f>+J523*G538+E538</f>
        <v>160645.19821711988</v>
      </c>
      <c r="I538" s="787">
        <f>+J524*G538+E538</f>
        <v>160645.19821711988</v>
      </c>
      <c r="J538" s="784">
        <f t="shared" si="51"/>
        <v>0</v>
      </c>
      <c r="K538" s="784"/>
      <c r="L538" s="804"/>
      <c r="M538" s="784">
        <f t="shared" si="45"/>
        <v>0</v>
      </c>
      <c r="N538" s="804"/>
      <c r="O538" s="784">
        <f t="shared" si="46"/>
        <v>0</v>
      </c>
      <c r="P538" s="784">
        <f t="shared" si="47"/>
        <v>0</v>
      </c>
    </row>
    <row r="539" spans="3:16" ht="12.75">
      <c r="C539" s="780">
        <f>IF(D522="","-",+C538+1)</f>
        <v>2026</v>
      </c>
      <c r="D539" s="728">
        <f t="shared" si="48"/>
        <v>1225310.5</v>
      </c>
      <c r="E539" s="781">
        <f t="shared" si="50"/>
        <v>22903</v>
      </c>
      <c r="F539" s="781">
        <f t="shared" si="44"/>
        <v>1202407.5</v>
      </c>
      <c r="G539" s="728">
        <f t="shared" si="49"/>
        <v>1213859</v>
      </c>
      <c r="H539" s="786">
        <f>+J523*G539+E539</f>
        <v>158094.41676865472</v>
      </c>
      <c r="I539" s="787">
        <f>+J524*G539+E539</f>
        <v>158094.41676865472</v>
      </c>
      <c r="J539" s="784">
        <f t="shared" si="51"/>
        <v>0</v>
      </c>
      <c r="K539" s="784"/>
      <c r="L539" s="804"/>
      <c r="M539" s="784">
        <f t="shared" si="45"/>
        <v>0</v>
      </c>
      <c r="N539" s="804"/>
      <c r="O539" s="784">
        <f t="shared" si="46"/>
        <v>0</v>
      </c>
      <c r="P539" s="784">
        <f t="shared" si="47"/>
        <v>0</v>
      </c>
    </row>
    <row r="540" spans="3:16" ht="12.75">
      <c r="C540" s="780">
        <f>IF(D522="","-",+C539+1)</f>
        <v>2027</v>
      </c>
      <c r="D540" s="728">
        <f t="shared" si="48"/>
        <v>1202407.5</v>
      </c>
      <c r="E540" s="781">
        <f t="shared" si="50"/>
        <v>22903</v>
      </c>
      <c r="F540" s="781">
        <f t="shared" si="44"/>
        <v>1179504.5</v>
      </c>
      <c r="G540" s="728">
        <f t="shared" si="49"/>
        <v>1190956</v>
      </c>
      <c r="H540" s="786">
        <f>+J523*G540+E540</f>
        <v>155543.63532018953</v>
      </c>
      <c r="I540" s="787">
        <f>+J524*G540+E540</f>
        <v>155543.63532018953</v>
      </c>
      <c r="J540" s="784">
        <f t="shared" si="51"/>
        <v>0</v>
      </c>
      <c r="K540" s="784"/>
      <c r="L540" s="804"/>
      <c r="M540" s="784">
        <f t="shared" si="45"/>
        <v>0</v>
      </c>
      <c r="N540" s="804"/>
      <c r="O540" s="784">
        <f t="shared" si="46"/>
        <v>0</v>
      </c>
      <c r="P540" s="784">
        <f t="shared" si="47"/>
        <v>0</v>
      </c>
    </row>
    <row r="541" spans="3:16" ht="12.75">
      <c r="C541" s="780">
        <f>IF(D522="","-",+C540+1)</f>
        <v>2028</v>
      </c>
      <c r="D541" s="728">
        <f t="shared" si="48"/>
        <v>1179504.5</v>
      </c>
      <c r="E541" s="781">
        <f t="shared" si="50"/>
        <v>22903</v>
      </c>
      <c r="F541" s="781">
        <f t="shared" si="44"/>
        <v>1156601.5</v>
      </c>
      <c r="G541" s="728">
        <f t="shared" si="49"/>
        <v>1168053</v>
      </c>
      <c r="H541" s="786">
        <f>+J523*G541+E541</f>
        <v>152992.85387172434</v>
      </c>
      <c r="I541" s="787">
        <f>+J524*G541+E541</f>
        <v>152992.85387172434</v>
      </c>
      <c r="J541" s="784">
        <f t="shared" si="51"/>
        <v>0</v>
      </c>
      <c r="K541" s="784"/>
      <c r="L541" s="804"/>
      <c r="M541" s="784">
        <f t="shared" si="45"/>
        <v>0</v>
      </c>
      <c r="N541" s="804"/>
      <c r="O541" s="784">
        <f t="shared" si="46"/>
        <v>0</v>
      </c>
      <c r="P541" s="784">
        <f t="shared" si="47"/>
        <v>0</v>
      </c>
    </row>
    <row r="542" spans="3:16" ht="12.75">
      <c r="C542" s="780">
        <f>IF(D522="","-",+C541+1)</f>
        <v>2029</v>
      </c>
      <c r="D542" s="728">
        <f t="shared" si="48"/>
        <v>1156601.5</v>
      </c>
      <c r="E542" s="781">
        <f t="shared" si="50"/>
        <v>22903</v>
      </c>
      <c r="F542" s="781">
        <f t="shared" si="44"/>
        <v>1133698.5</v>
      </c>
      <c r="G542" s="728">
        <f t="shared" si="49"/>
        <v>1145150</v>
      </c>
      <c r="H542" s="786">
        <f>+J523*G542+E542</f>
        <v>150442.07242325915</v>
      </c>
      <c r="I542" s="787">
        <f>+J524*G542+E542</f>
        <v>150442.07242325915</v>
      </c>
      <c r="J542" s="784">
        <f t="shared" si="51"/>
        <v>0</v>
      </c>
      <c r="K542" s="784"/>
      <c r="L542" s="804"/>
      <c r="M542" s="784">
        <f t="shared" si="45"/>
        <v>0</v>
      </c>
      <c r="N542" s="804"/>
      <c r="O542" s="784">
        <f t="shared" si="46"/>
        <v>0</v>
      </c>
      <c r="P542" s="784">
        <f t="shared" si="47"/>
        <v>0</v>
      </c>
    </row>
    <row r="543" spans="3:16" ht="12.75">
      <c r="C543" s="780">
        <f>IF(D522="","-",+C542+1)</f>
        <v>2030</v>
      </c>
      <c r="D543" s="728">
        <f t="shared" si="48"/>
        <v>1133698.5</v>
      </c>
      <c r="E543" s="781">
        <f t="shared" si="50"/>
        <v>22903</v>
      </c>
      <c r="F543" s="781">
        <f t="shared" si="44"/>
        <v>1110795.5</v>
      </c>
      <c r="G543" s="728">
        <f t="shared" si="49"/>
        <v>1122247</v>
      </c>
      <c r="H543" s="786">
        <f>+J523*G543+E543</f>
        <v>147891.29097479396</v>
      </c>
      <c r="I543" s="787">
        <f>+J524*G543+E543</f>
        <v>147891.29097479396</v>
      </c>
      <c r="J543" s="784">
        <f t="shared" si="51"/>
        <v>0</v>
      </c>
      <c r="K543" s="784"/>
      <c r="L543" s="804"/>
      <c r="M543" s="784">
        <f t="shared" si="45"/>
        <v>0</v>
      </c>
      <c r="N543" s="804"/>
      <c r="O543" s="784">
        <f t="shared" si="46"/>
        <v>0</v>
      </c>
      <c r="P543" s="784">
        <f t="shared" si="47"/>
        <v>0</v>
      </c>
    </row>
    <row r="544" spans="3:16" ht="12.75">
      <c r="C544" s="780">
        <f>IF(D522="","-",+C543+1)</f>
        <v>2031</v>
      </c>
      <c r="D544" s="728">
        <f t="shared" si="48"/>
        <v>1110795.5</v>
      </c>
      <c r="E544" s="781">
        <f t="shared" si="50"/>
        <v>22903</v>
      </c>
      <c r="F544" s="781">
        <f t="shared" si="44"/>
        <v>1087892.5</v>
      </c>
      <c r="G544" s="728">
        <f t="shared" si="49"/>
        <v>1099344</v>
      </c>
      <c r="H544" s="786">
        <f>+J523*G544+E544</f>
        <v>145340.5095263288</v>
      </c>
      <c r="I544" s="787">
        <f>+J524*G544+E544</f>
        <v>145340.5095263288</v>
      </c>
      <c r="J544" s="784">
        <f t="shared" si="51"/>
        <v>0</v>
      </c>
      <c r="K544" s="784"/>
      <c r="L544" s="804"/>
      <c r="M544" s="784">
        <f t="shared" si="45"/>
        <v>0</v>
      </c>
      <c r="N544" s="804"/>
      <c r="O544" s="784">
        <f t="shared" si="46"/>
        <v>0</v>
      </c>
      <c r="P544" s="784">
        <f t="shared" si="47"/>
        <v>0</v>
      </c>
    </row>
    <row r="545" spans="3:16" ht="12.75">
      <c r="C545" s="780">
        <f>IF(D522="","-",+C544+1)</f>
        <v>2032</v>
      </c>
      <c r="D545" s="728">
        <f t="shared" si="48"/>
        <v>1087892.5</v>
      </c>
      <c r="E545" s="781">
        <f t="shared" si="50"/>
        <v>22903</v>
      </c>
      <c r="F545" s="781">
        <f t="shared" si="44"/>
        <v>1064989.5</v>
      </c>
      <c r="G545" s="728">
        <f t="shared" si="49"/>
        <v>1076441</v>
      </c>
      <c r="H545" s="786">
        <f>+J523*G545+E545</f>
        <v>142789.7280778636</v>
      </c>
      <c r="I545" s="787">
        <f>+J524*G545+E545</f>
        <v>142789.7280778636</v>
      </c>
      <c r="J545" s="784">
        <f t="shared" si="51"/>
        <v>0</v>
      </c>
      <c r="K545" s="784"/>
      <c r="L545" s="804"/>
      <c r="M545" s="784">
        <f t="shared" si="45"/>
        <v>0</v>
      </c>
      <c r="N545" s="804"/>
      <c r="O545" s="784">
        <f t="shared" si="46"/>
        <v>0</v>
      </c>
      <c r="P545" s="784">
        <f t="shared" si="47"/>
        <v>0</v>
      </c>
    </row>
    <row r="546" spans="3:16" ht="12.75">
      <c r="C546" s="780">
        <f>IF(D522="","-",+C545+1)</f>
        <v>2033</v>
      </c>
      <c r="D546" s="728">
        <f t="shared" si="48"/>
        <v>1064989.5</v>
      </c>
      <c r="E546" s="781">
        <f t="shared" si="50"/>
        <v>22903</v>
      </c>
      <c r="F546" s="781">
        <f t="shared" si="44"/>
        <v>1042086.5</v>
      </c>
      <c r="G546" s="728">
        <f t="shared" si="49"/>
        <v>1053538</v>
      </c>
      <c r="H546" s="786">
        <f>+J523*G546+E546</f>
        <v>140238.94662939842</v>
      </c>
      <c r="I546" s="787">
        <f>+J524*G546+E546</f>
        <v>140238.94662939842</v>
      </c>
      <c r="J546" s="784">
        <f t="shared" si="51"/>
        <v>0</v>
      </c>
      <c r="K546" s="784"/>
      <c r="L546" s="804"/>
      <c r="M546" s="784">
        <f t="shared" si="45"/>
        <v>0</v>
      </c>
      <c r="N546" s="804"/>
      <c r="O546" s="784">
        <f t="shared" si="46"/>
        <v>0</v>
      </c>
      <c r="P546" s="784">
        <f t="shared" si="47"/>
        <v>0</v>
      </c>
    </row>
    <row r="547" spans="3:16" ht="12.75">
      <c r="C547" s="780">
        <f>IF(D522="","-",+C546+1)</f>
        <v>2034</v>
      </c>
      <c r="D547" s="728">
        <f t="shared" si="48"/>
        <v>1042086.5</v>
      </c>
      <c r="E547" s="781">
        <f t="shared" si="50"/>
        <v>22903</v>
      </c>
      <c r="F547" s="781">
        <f t="shared" si="44"/>
        <v>1019183.5</v>
      </c>
      <c r="G547" s="728">
        <f t="shared" si="49"/>
        <v>1030635</v>
      </c>
      <c r="H547" s="786">
        <f>+J523*G547+E547</f>
        <v>137688.16518093325</v>
      </c>
      <c r="I547" s="787">
        <f>+J524*G547+E547</f>
        <v>137688.16518093325</v>
      </c>
      <c r="J547" s="784">
        <f t="shared" si="51"/>
        <v>0</v>
      </c>
      <c r="K547" s="784"/>
      <c r="L547" s="804"/>
      <c r="M547" s="784">
        <f t="shared" si="45"/>
        <v>0</v>
      </c>
      <c r="N547" s="804"/>
      <c r="O547" s="784">
        <f t="shared" si="46"/>
        <v>0</v>
      </c>
      <c r="P547" s="784">
        <f t="shared" si="47"/>
        <v>0</v>
      </c>
    </row>
    <row r="548" spans="3:16" ht="12.75">
      <c r="C548" s="780">
        <f>IF(D522="","-",+C547+1)</f>
        <v>2035</v>
      </c>
      <c r="D548" s="728">
        <f t="shared" si="48"/>
        <v>1019183.5</v>
      </c>
      <c r="E548" s="781">
        <f t="shared" si="50"/>
        <v>22903</v>
      </c>
      <c r="F548" s="781">
        <f t="shared" si="44"/>
        <v>996280.5</v>
      </c>
      <c r="G548" s="728">
        <f t="shared" si="49"/>
        <v>1007732</v>
      </c>
      <c r="H548" s="786">
        <f>+J523*G548+E548</f>
        <v>135137.38373246806</v>
      </c>
      <c r="I548" s="787">
        <f>+J524*G548+E548</f>
        <v>135137.38373246806</v>
      </c>
      <c r="J548" s="784">
        <f t="shared" si="51"/>
        <v>0</v>
      </c>
      <c r="K548" s="784"/>
      <c r="L548" s="804"/>
      <c r="M548" s="784">
        <f t="shared" si="45"/>
        <v>0</v>
      </c>
      <c r="N548" s="804"/>
      <c r="O548" s="784">
        <f t="shared" si="46"/>
        <v>0</v>
      </c>
      <c r="P548" s="784">
        <f t="shared" si="47"/>
        <v>0</v>
      </c>
    </row>
    <row r="549" spans="3:16" ht="12.75">
      <c r="C549" s="780">
        <f>IF(D522="","-",+C548+1)</f>
        <v>2036</v>
      </c>
      <c r="D549" s="728">
        <f t="shared" si="48"/>
        <v>996280.5</v>
      </c>
      <c r="E549" s="781">
        <f t="shared" si="50"/>
        <v>22903</v>
      </c>
      <c r="F549" s="781">
        <f t="shared" si="44"/>
        <v>973377.5</v>
      </c>
      <c r="G549" s="728">
        <f t="shared" si="49"/>
        <v>984829</v>
      </c>
      <c r="H549" s="786">
        <f>+J523*G549+E549</f>
        <v>132586.60228400287</v>
      </c>
      <c r="I549" s="787">
        <f>+J524*G549+E549</f>
        <v>132586.60228400287</v>
      </c>
      <c r="J549" s="784">
        <f t="shared" si="51"/>
        <v>0</v>
      </c>
      <c r="K549" s="784"/>
      <c r="L549" s="804"/>
      <c r="M549" s="784">
        <f t="shared" si="45"/>
        <v>0</v>
      </c>
      <c r="N549" s="804"/>
      <c r="O549" s="784">
        <f t="shared" si="46"/>
        <v>0</v>
      </c>
      <c r="P549" s="784">
        <f t="shared" si="47"/>
        <v>0</v>
      </c>
    </row>
    <row r="550" spans="3:16" ht="12.75">
      <c r="C550" s="780">
        <f>IF(D522="","-",+C549+1)</f>
        <v>2037</v>
      </c>
      <c r="D550" s="728">
        <f t="shared" si="48"/>
        <v>973377.5</v>
      </c>
      <c r="E550" s="781">
        <f t="shared" si="50"/>
        <v>22903</v>
      </c>
      <c r="F550" s="781">
        <f t="shared" si="44"/>
        <v>950474.5</v>
      </c>
      <c r="G550" s="728">
        <f t="shared" si="49"/>
        <v>961926</v>
      </c>
      <c r="H550" s="786">
        <f>+J523*G550+E550</f>
        <v>130035.82083553768</v>
      </c>
      <c r="I550" s="787">
        <f>+J524*G550+E550</f>
        <v>130035.82083553768</v>
      </c>
      <c r="J550" s="784">
        <f t="shared" si="51"/>
        <v>0</v>
      </c>
      <c r="K550" s="784"/>
      <c r="L550" s="804"/>
      <c r="M550" s="784">
        <f t="shared" si="45"/>
        <v>0</v>
      </c>
      <c r="N550" s="804"/>
      <c r="O550" s="784">
        <f t="shared" si="46"/>
        <v>0</v>
      </c>
      <c r="P550" s="784">
        <f t="shared" si="47"/>
        <v>0</v>
      </c>
    </row>
    <row r="551" spans="3:16" ht="12.75">
      <c r="C551" s="780">
        <f>IF(D522="","-",+C550+1)</f>
        <v>2038</v>
      </c>
      <c r="D551" s="728">
        <f t="shared" si="48"/>
        <v>950474.5</v>
      </c>
      <c r="E551" s="781">
        <f t="shared" si="50"/>
        <v>22903</v>
      </c>
      <c r="F551" s="781">
        <f t="shared" si="44"/>
        <v>927571.5</v>
      </c>
      <c r="G551" s="728">
        <f t="shared" si="49"/>
        <v>939023</v>
      </c>
      <c r="H551" s="786">
        <f>+J523*G551+E551</f>
        <v>127485.03938707251</v>
      </c>
      <c r="I551" s="787">
        <f>+J524*G551+E551</f>
        <v>127485.03938707251</v>
      </c>
      <c r="J551" s="784">
        <f t="shared" si="51"/>
        <v>0</v>
      </c>
      <c r="K551" s="784"/>
      <c r="L551" s="804"/>
      <c r="M551" s="784">
        <f t="shared" si="45"/>
        <v>0</v>
      </c>
      <c r="N551" s="804"/>
      <c r="O551" s="784">
        <f t="shared" si="46"/>
        <v>0</v>
      </c>
      <c r="P551" s="784">
        <f t="shared" si="47"/>
        <v>0</v>
      </c>
    </row>
    <row r="552" spans="3:16" ht="12.75">
      <c r="C552" s="780">
        <f>IF(D522="","-",+C551+1)</f>
        <v>2039</v>
      </c>
      <c r="D552" s="728">
        <f t="shared" si="48"/>
        <v>927571.5</v>
      </c>
      <c r="E552" s="781">
        <f t="shared" si="50"/>
        <v>22903</v>
      </c>
      <c r="F552" s="781">
        <f t="shared" si="44"/>
        <v>904668.5</v>
      </c>
      <c r="G552" s="728">
        <f t="shared" si="49"/>
        <v>916120</v>
      </c>
      <c r="H552" s="786">
        <f>+J523*G552+E552</f>
        <v>124934.25793860732</v>
      </c>
      <c r="I552" s="787">
        <f>+J524*G552+E552</f>
        <v>124934.25793860732</v>
      </c>
      <c r="J552" s="784">
        <f t="shared" si="51"/>
        <v>0</v>
      </c>
      <c r="K552" s="784"/>
      <c r="L552" s="804"/>
      <c r="M552" s="784">
        <f t="shared" si="45"/>
        <v>0</v>
      </c>
      <c r="N552" s="804"/>
      <c r="O552" s="784">
        <f t="shared" si="46"/>
        <v>0</v>
      </c>
      <c r="P552" s="784">
        <f t="shared" si="47"/>
        <v>0</v>
      </c>
    </row>
    <row r="553" spans="3:16" ht="12.75">
      <c r="C553" s="780">
        <f>IF(D522="","-",+C552+1)</f>
        <v>2040</v>
      </c>
      <c r="D553" s="728">
        <f t="shared" si="48"/>
        <v>904668.5</v>
      </c>
      <c r="E553" s="781">
        <f t="shared" si="50"/>
        <v>22903</v>
      </c>
      <c r="F553" s="781">
        <f t="shared" si="44"/>
        <v>881765.5</v>
      </c>
      <c r="G553" s="728">
        <f t="shared" si="49"/>
        <v>893217</v>
      </c>
      <c r="H553" s="786">
        <f>+J523*G553+E553</f>
        <v>122383.47649014214</v>
      </c>
      <c r="I553" s="787">
        <f>+J524*G553+E553</f>
        <v>122383.47649014214</v>
      </c>
      <c r="J553" s="784">
        <f t="shared" si="51"/>
        <v>0</v>
      </c>
      <c r="K553" s="784"/>
      <c r="L553" s="804"/>
      <c r="M553" s="784">
        <f t="shared" si="45"/>
        <v>0</v>
      </c>
      <c r="N553" s="804"/>
      <c r="O553" s="784">
        <f t="shared" si="46"/>
        <v>0</v>
      </c>
      <c r="P553" s="784">
        <f t="shared" si="47"/>
        <v>0</v>
      </c>
    </row>
    <row r="554" spans="3:16" ht="12.75">
      <c r="C554" s="780">
        <f>IF(D522="","-",+C553+1)</f>
        <v>2041</v>
      </c>
      <c r="D554" s="728">
        <f t="shared" si="48"/>
        <v>881765.5</v>
      </c>
      <c r="E554" s="781">
        <f t="shared" si="50"/>
        <v>22903</v>
      </c>
      <c r="F554" s="781">
        <f t="shared" si="44"/>
        <v>858862.5</v>
      </c>
      <c r="G554" s="728">
        <f t="shared" si="49"/>
        <v>870314</v>
      </c>
      <c r="H554" s="786">
        <f>+J523*G554+E554</f>
        <v>119832.69504167695</v>
      </c>
      <c r="I554" s="787">
        <f>+J524*G554+E554</f>
        <v>119832.69504167695</v>
      </c>
      <c r="J554" s="784">
        <f t="shared" si="51"/>
        <v>0</v>
      </c>
      <c r="K554" s="784"/>
      <c r="L554" s="804"/>
      <c r="M554" s="784">
        <f t="shared" si="45"/>
        <v>0</v>
      </c>
      <c r="N554" s="804"/>
      <c r="O554" s="784">
        <f t="shared" si="46"/>
        <v>0</v>
      </c>
      <c r="P554" s="784">
        <f t="shared" si="47"/>
        <v>0</v>
      </c>
    </row>
    <row r="555" spans="3:16" ht="12.75">
      <c r="C555" s="780">
        <f>IF(D522="","-",+C554+1)</f>
        <v>2042</v>
      </c>
      <c r="D555" s="728">
        <f t="shared" si="48"/>
        <v>858862.5</v>
      </c>
      <c r="E555" s="781">
        <f t="shared" si="50"/>
        <v>22903</v>
      </c>
      <c r="F555" s="781">
        <f t="shared" si="44"/>
        <v>835959.5</v>
      </c>
      <c r="G555" s="728">
        <f t="shared" si="49"/>
        <v>847411</v>
      </c>
      <c r="H555" s="786">
        <f>+J523*G555+E555</f>
        <v>117281.91359321178</v>
      </c>
      <c r="I555" s="787">
        <f>+J524*G555+E555</f>
        <v>117281.91359321178</v>
      </c>
      <c r="J555" s="784">
        <f t="shared" si="51"/>
        <v>0</v>
      </c>
      <c r="K555" s="784"/>
      <c r="L555" s="804"/>
      <c r="M555" s="784">
        <f t="shared" si="45"/>
        <v>0</v>
      </c>
      <c r="N555" s="804"/>
      <c r="O555" s="784">
        <f t="shared" si="46"/>
        <v>0</v>
      </c>
      <c r="P555" s="784">
        <f t="shared" si="47"/>
        <v>0</v>
      </c>
    </row>
    <row r="556" spans="3:16" ht="12.75">
      <c r="C556" s="780">
        <f>IF(D522="","-",+C555+1)</f>
        <v>2043</v>
      </c>
      <c r="D556" s="728">
        <f t="shared" si="48"/>
        <v>835959.5</v>
      </c>
      <c r="E556" s="781">
        <f t="shared" si="50"/>
        <v>22903</v>
      </c>
      <c r="F556" s="781">
        <f t="shared" si="44"/>
        <v>813056.5</v>
      </c>
      <c r="G556" s="728">
        <f t="shared" si="49"/>
        <v>824508</v>
      </c>
      <c r="H556" s="786">
        <f>+J523*G556+E556</f>
        <v>114731.13214474659</v>
      </c>
      <c r="I556" s="787">
        <f>+J524*G556+E556</f>
        <v>114731.13214474659</v>
      </c>
      <c r="J556" s="784">
        <f t="shared" si="51"/>
        <v>0</v>
      </c>
      <c r="K556" s="784"/>
      <c r="L556" s="804"/>
      <c r="M556" s="784">
        <f t="shared" si="45"/>
        <v>0</v>
      </c>
      <c r="N556" s="804"/>
      <c r="O556" s="784">
        <f t="shared" si="46"/>
        <v>0</v>
      </c>
      <c r="P556" s="784">
        <f t="shared" si="47"/>
        <v>0</v>
      </c>
    </row>
    <row r="557" spans="3:16" ht="12.75">
      <c r="C557" s="780">
        <f>IF(D522="","-",+C556+1)</f>
        <v>2044</v>
      </c>
      <c r="D557" s="728">
        <f t="shared" si="48"/>
        <v>813056.5</v>
      </c>
      <c r="E557" s="781">
        <f t="shared" si="50"/>
        <v>22903</v>
      </c>
      <c r="F557" s="781">
        <f t="shared" si="44"/>
        <v>790153.5</v>
      </c>
      <c r="G557" s="728">
        <f t="shared" si="49"/>
        <v>801605</v>
      </c>
      <c r="H557" s="786">
        <f>+J523*G557+E557</f>
        <v>112180.35069628141</v>
      </c>
      <c r="I557" s="787">
        <f>+J524*G557+E557</f>
        <v>112180.35069628141</v>
      </c>
      <c r="J557" s="784">
        <f t="shared" si="51"/>
        <v>0</v>
      </c>
      <c r="K557" s="784"/>
      <c r="L557" s="804"/>
      <c r="M557" s="784">
        <f t="shared" si="45"/>
        <v>0</v>
      </c>
      <c r="N557" s="804"/>
      <c r="O557" s="784">
        <f t="shared" si="46"/>
        <v>0</v>
      </c>
      <c r="P557" s="784">
        <f t="shared" si="47"/>
        <v>0</v>
      </c>
    </row>
    <row r="558" spans="3:16" ht="12.75">
      <c r="C558" s="780">
        <f>IF(D522="","-",+C557+1)</f>
        <v>2045</v>
      </c>
      <c r="D558" s="728">
        <f t="shared" si="48"/>
        <v>790153.5</v>
      </c>
      <c r="E558" s="781">
        <f t="shared" si="50"/>
        <v>22903</v>
      </c>
      <c r="F558" s="781">
        <f t="shared" si="44"/>
        <v>767250.5</v>
      </c>
      <c r="G558" s="728">
        <f t="shared" si="49"/>
        <v>778702</v>
      </c>
      <c r="H558" s="786">
        <f>+J523*G558+E558</f>
        <v>109629.56924781622</v>
      </c>
      <c r="I558" s="787">
        <f>+J524*G558+E558</f>
        <v>109629.56924781622</v>
      </c>
      <c r="J558" s="784">
        <f t="shared" si="51"/>
        <v>0</v>
      </c>
      <c r="K558" s="784"/>
      <c r="L558" s="804"/>
      <c r="M558" s="784">
        <f t="shared" si="45"/>
        <v>0</v>
      </c>
      <c r="N558" s="804"/>
      <c r="O558" s="784">
        <f t="shared" si="46"/>
        <v>0</v>
      </c>
      <c r="P558" s="784">
        <f t="shared" si="47"/>
        <v>0</v>
      </c>
    </row>
    <row r="559" spans="3:16" ht="12.75">
      <c r="C559" s="780">
        <f>IF(D522="","-",+C558+1)</f>
        <v>2046</v>
      </c>
      <c r="D559" s="728">
        <f t="shared" si="48"/>
        <v>767250.5</v>
      </c>
      <c r="E559" s="781">
        <f t="shared" si="50"/>
        <v>22903</v>
      </c>
      <c r="F559" s="781">
        <f t="shared" si="44"/>
        <v>744347.5</v>
      </c>
      <c r="G559" s="728">
        <f t="shared" si="49"/>
        <v>755799</v>
      </c>
      <c r="H559" s="786">
        <f>+J523*G559+E559</f>
        <v>107078.78779935105</v>
      </c>
      <c r="I559" s="787">
        <f>+J524*G559+E559</f>
        <v>107078.78779935105</v>
      </c>
      <c r="J559" s="784">
        <f t="shared" si="51"/>
        <v>0</v>
      </c>
      <c r="K559" s="784"/>
      <c r="L559" s="804"/>
      <c r="M559" s="784">
        <f t="shared" si="45"/>
        <v>0</v>
      </c>
      <c r="N559" s="804"/>
      <c r="O559" s="784">
        <f t="shared" si="46"/>
        <v>0</v>
      </c>
      <c r="P559" s="784">
        <f t="shared" si="47"/>
        <v>0</v>
      </c>
    </row>
    <row r="560" spans="3:16" ht="12.75">
      <c r="C560" s="780">
        <f>IF(D522="","-",+C559+1)</f>
        <v>2047</v>
      </c>
      <c r="D560" s="728">
        <f t="shared" si="48"/>
        <v>744347.5</v>
      </c>
      <c r="E560" s="781">
        <f t="shared" si="50"/>
        <v>22903</v>
      </c>
      <c r="F560" s="781">
        <f t="shared" si="44"/>
        <v>721444.5</v>
      </c>
      <c r="G560" s="728">
        <f t="shared" si="49"/>
        <v>732896</v>
      </c>
      <c r="H560" s="786">
        <f>+J523*G560+E560</f>
        <v>104528.00635088586</v>
      </c>
      <c r="I560" s="787">
        <f>+J524*G560+E560</f>
        <v>104528.00635088586</v>
      </c>
      <c r="J560" s="784">
        <f t="shared" si="51"/>
        <v>0</v>
      </c>
      <c r="K560" s="784"/>
      <c r="L560" s="804"/>
      <c r="M560" s="784">
        <f t="shared" si="45"/>
        <v>0</v>
      </c>
      <c r="N560" s="804"/>
      <c r="O560" s="784">
        <f t="shared" si="46"/>
        <v>0</v>
      </c>
      <c r="P560" s="784">
        <f t="shared" si="47"/>
        <v>0</v>
      </c>
    </row>
    <row r="561" spans="3:16" ht="12.75">
      <c r="C561" s="780">
        <f>IF(D522="","-",+C560+1)</f>
        <v>2048</v>
      </c>
      <c r="D561" s="728">
        <f t="shared" si="48"/>
        <v>721444.5</v>
      </c>
      <c r="E561" s="781">
        <f t="shared" si="50"/>
        <v>22903</v>
      </c>
      <c r="F561" s="781">
        <f t="shared" si="44"/>
        <v>698541.5</v>
      </c>
      <c r="G561" s="728">
        <f t="shared" si="49"/>
        <v>709993</v>
      </c>
      <c r="H561" s="786">
        <f>+J523*G561+E561</f>
        <v>101977.22490242068</v>
      </c>
      <c r="I561" s="787">
        <f>+J524*G561+E561</f>
        <v>101977.22490242068</v>
      </c>
      <c r="J561" s="784">
        <f t="shared" si="51"/>
        <v>0</v>
      </c>
      <c r="K561" s="784"/>
      <c r="L561" s="804"/>
      <c r="M561" s="784">
        <f t="shared" si="45"/>
        <v>0</v>
      </c>
      <c r="N561" s="804"/>
      <c r="O561" s="784">
        <f t="shared" si="46"/>
        <v>0</v>
      </c>
      <c r="P561" s="784">
        <f t="shared" si="47"/>
        <v>0</v>
      </c>
    </row>
    <row r="562" spans="3:16" ht="12.75">
      <c r="C562" s="780">
        <f>IF(D522="","-",+C561+1)</f>
        <v>2049</v>
      </c>
      <c r="D562" s="728">
        <f t="shared" si="48"/>
        <v>698541.5</v>
      </c>
      <c r="E562" s="781">
        <f t="shared" si="50"/>
        <v>22903</v>
      </c>
      <c r="F562" s="781">
        <f t="shared" si="44"/>
        <v>675638.5</v>
      </c>
      <c r="G562" s="728">
        <f t="shared" si="49"/>
        <v>687090</v>
      </c>
      <c r="H562" s="786">
        <f>+J523*G562+E562</f>
        <v>99426.4434539555</v>
      </c>
      <c r="I562" s="787">
        <f>+J524*G562+E562</f>
        <v>99426.4434539555</v>
      </c>
      <c r="J562" s="784">
        <f t="shared" si="51"/>
        <v>0</v>
      </c>
      <c r="K562" s="784"/>
      <c r="L562" s="804"/>
      <c r="M562" s="784">
        <f t="shared" si="45"/>
        <v>0</v>
      </c>
      <c r="N562" s="804"/>
      <c r="O562" s="784">
        <f t="shared" si="46"/>
        <v>0</v>
      </c>
      <c r="P562" s="784">
        <f t="shared" si="47"/>
        <v>0</v>
      </c>
    </row>
    <row r="563" spans="3:16" ht="12.75">
      <c r="C563" s="780">
        <f>IF(D522="","-",+C562+1)</f>
        <v>2050</v>
      </c>
      <c r="D563" s="728">
        <f t="shared" si="48"/>
        <v>675638.5</v>
      </c>
      <c r="E563" s="781">
        <f t="shared" si="50"/>
        <v>22903</v>
      </c>
      <c r="F563" s="781">
        <f t="shared" si="44"/>
        <v>652735.5</v>
      </c>
      <c r="G563" s="728">
        <f t="shared" si="49"/>
        <v>664187</v>
      </c>
      <c r="H563" s="786">
        <f>+J523*G563+E563</f>
        <v>96875.6620054903</v>
      </c>
      <c r="I563" s="787">
        <f>+J524*G563+E563</f>
        <v>96875.6620054903</v>
      </c>
      <c r="J563" s="784">
        <f t="shared" si="51"/>
        <v>0</v>
      </c>
      <c r="K563" s="784"/>
      <c r="L563" s="804"/>
      <c r="M563" s="784">
        <f t="shared" si="45"/>
        <v>0</v>
      </c>
      <c r="N563" s="804"/>
      <c r="O563" s="784">
        <f t="shared" si="46"/>
        <v>0</v>
      </c>
      <c r="P563" s="784">
        <f t="shared" si="47"/>
        <v>0</v>
      </c>
    </row>
    <row r="564" spans="3:16" ht="12.75">
      <c r="C564" s="780">
        <f>IF(D522="","-",+C563+1)</f>
        <v>2051</v>
      </c>
      <c r="D564" s="728">
        <f t="shared" si="48"/>
        <v>652735.5</v>
      </c>
      <c r="E564" s="781">
        <f t="shared" si="50"/>
        <v>22903</v>
      </c>
      <c r="F564" s="781">
        <f t="shared" si="44"/>
        <v>629832.5</v>
      </c>
      <c r="G564" s="728">
        <f t="shared" si="49"/>
        <v>641284</v>
      </c>
      <c r="H564" s="786">
        <f>+J523*G564+E564</f>
        <v>94324.88055702513</v>
      </c>
      <c r="I564" s="787">
        <f>+J524*G564+E564</f>
        <v>94324.88055702513</v>
      </c>
      <c r="J564" s="784">
        <f t="shared" si="51"/>
        <v>0</v>
      </c>
      <c r="K564" s="784"/>
      <c r="L564" s="804"/>
      <c r="M564" s="784">
        <f t="shared" si="45"/>
        <v>0</v>
      </c>
      <c r="N564" s="804"/>
      <c r="O564" s="784">
        <f t="shared" si="46"/>
        <v>0</v>
      </c>
      <c r="P564" s="784">
        <f t="shared" si="47"/>
        <v>0</v>
      </c>
    </row>
    <row r="565" spans="3:16" ht="12.75">
      <c r="C565" s="780">
        <f>IF(D522="","-",+C564+1)</f>
        <v>2052</v>
      </c>
      <c r="D565" s="728">
        <f t="shared" si="48"/>
        <v>629832.5</v>
      </c>
      <c r="E565" s="781">
        <f t="shared" si="50"/>
        <v>22903</v>
      </c>
      <c r="F565" s="781">
        <f t="shared" si="44"/>
        <v>606929.5</v>
      </c>
      <c r="G565" s="728">
        <f t="shared" si="49"/>
        <v>618381</v>
      </c>
      <c r="H565" s="786">
        <f>+J523*G565+E565</f>
        <v>91774.09910855994</v>
      </c>
      <c r="I565" s="787">
        <f>+J524*G565+E565</f>
        <v>91774.09910855994</v>
      </c>
      <c r="J565" s="784">
        <f t="shared" si="51"/>
        <v>0</v>
      </c>
      <c r="K565" s="784"/>
      <c r="L565" s="804"/>
      <c r="M565" s="784">
        <f t="shared" si="45"/>
        <v>0</v>
      </c>
      <c r="N565" s="804"/>
      <c r="O565" s="784">
        <f t="shared" si="46"/>
        <v>0</v>
      </c>
      <c r="P565" s="784">
        <f t="shared" si="47"/>
        <v>0</v>
      </c>
    </row>
    <row r="566" spans="3:16" ht="12.75">
      <c r="C566" s="780">
        <f>IF(D522="","-",+C565+1)</f>
        <v>2053</v>
      </c>
      <c r="D566" s="728">
        <f t="shared" si="48"/>
        <v>606929.5</v>
      </c>
      <c r="E566" s="781">
        <f t="shared" si="50"/>
        <v>22903</v>
      </c>
      <c r="F566" s="781">
        <f t="shared" si="44"/>
        <v>584026.5</v>
      </c>
      <c r="G566" s="728">
        <f t="shared" si="49"/>
        <v>595478</v>
      </c>
      <c r="H566" s="786">
        <f>+J523*G566+E566</f>
        <v>89223.31766009476</v>
      </c>
      <c r="I566" s="787">
        <f>+J524*G566+E566</f>
        <v>89223.31766009476</v>
      </c>
      <c r="J566" s="784">
        <f t="shared" si="51"/>
        <v>0</v>
      </c>
      <c r="K566" s="784"/>
      <c r="L566" s="804"/>
      <c r="M566" s="784">
        <f t="shared" si="45"/>
        <v>0</v>
      </c>
      <c r="N566" s="804"/>
      <c r="O566" s="784">
        <f t="shared" si="46"/>
        <v>0</v>
      </c>
      <c r="P566" s="784">
        <f t="shared" si="47"/>
        <v>0</v>
      </c>
    </row>
    <row r="567" spans="3:16" ht="12.75">
      <c r="C567" s="780">
        <f>IF(D522="","-",+C566+1)</f>
        <v>2054</v>
      </c>
      <c r="D567" s="728">
        <f t="shared" si="48"/>
        <v>584026.5</v>
      </c>
      <c r="E567" s="781">
        <f t="shared" si="50"/>
        <v>22903</v>
      </c>
      <c r="F567" s="781">
        <f t="shared" si="44"/>
        <v>561123.5</v>
      </c>
      <c r="G567" s="728">
        <f t="shared" si="49"/>
        <v>572575</v>
      </c>
      <c r="H567" s="786">
        <f>+J523*G567+E567</f>
        <v>86672.53621162957</v>
      </c>
      <c r="I567" s="787">
        <f>+J524*G567+E567</f>
        <v>86672.53621162957</v>
      </c>
      <c r="J567" s="784">
        <f t="shared" si="51"/>
        <v>0</v>
      </c>
      <c r="K567" s="784"/>
      <c r="L567" s="804"/>
      <c r="M567" s="784">
        <f t="shared" si="45"/>
        <v>0</v>
      </c>
      <c r="N567" s="804"/>
      <c r="O567" s="784">
        <f t="shared" si="46"/>
        <v>0</v>
      </c>
      <c r="P567" s="784">
        <f t="shared" si="47"/>
        <v>0</v>
      </c>
    </row>
    <row r="568" spans="3:16" ht="12.75">
      <c r="C568" s="780">
        <f>IF(D522="","-",+C567+1)</f>
        <v>2055</v>
      </c>
      <c r="D568" s="728">
        <f t="shared" si="48"/>
        <v>561123.5</v>
      </c>
      <c r="E568" s="781">
        <f t="shared" si="50"/>
        <v>22903</v>
      </c>
      <c r="F568" s="781">
        <f t="shared" si="44"/>
        <v>538220.5</v>
      </c>
      <c r="G568" s="728">
        <f t="shared" si="49"/>
        <v>549672</v>
      </c>
      <c r="H568" s="786">
        <f>+J523*G568+E568</f>
        <v>84121.7547631644</v>
      </c>
      <c r="I568" s="787">
        <f>+J524*G568+E568</f>
        <v>84121.7547631644</v>
      </c>
      <c r="J568" s="784">
        <f t="shared" si="51"/>
        <v>0</v>
      </c>
      <c r="K568" s="784"/>
      <c r="L568" s="804"/>
      <c r="M568" s="784">
        <f t="shared" si="45"/>
        <v>0</v>
      </c>
      <c r="N568" s="804"/>
      <c r="O568" s="784">
        <f t="shared" si="46"/>
        <v>0</v>
      </c>
      <c r="P568" s="784">
        <f t="shared" si="47"/>
        <v>0</v>
      </c>
    </row>
    <row r="569" spans="3:16" ht="12.75">
      <c r="C569" s="780">
        <f>IF(D522="","-",+C568+1)</f>
        <v>2056</v>
      </c>
      <c r="D569" s="728">
        <f t="shared" si="48"/>
        <v>538220.5</v>
      </c>
      <c r="E569" s="781">
        <f t="shared" si="50"/>
        <v>22903</v>
      </c>
      <c r="F569" s="781">
        <f t="shared" si="44"/>
        <v>515317.5</v>
      </c>
      <c r="G569" s="728">
        <f t="shared" si="49"/>
        <v>526769</v>
      </c>
      <c r="H569" s="786">
        <f>+J523*G569+E569</f>
        <v>81570.97331469921</v>
      </c>
      <c r="I569" s="787">
        <f>+J524*G569+E569</f>
        <v>81570.97331469921</v>
      </c>
      <c r="J569" s="784">
        <f t="shared" si="51"/>
        <v>0</v>
      </c>
      <c r="K569" s="784"/>
      <c r="L569" s="804"/>
      <c r="M569" s="784">
        <f t="shared" si="45"/>
        <v>0</v>
      </c>
      <c r="N569" s="804"/>
      <c r="O569" s="784">
        <f t="shared" si="46"/>
        <v>0</v>
      </c>
      <c r="P569" s="784">
        <f t="shared" si="47"/>
        <v>0</v>
      </c>
    </row>
    <row r="570" spans="3:16" ht="12.75">
      <c r="C570" s="780">
        <f>IF(D522="","-",+C569+1)</f>
        <v>2057</v>
      </c>
      <c r="D570" s="728">
        <f t="shared" si="48"/>
        <v>515317.5</v>
      </c>
      <c r="E570" s="781">
        <f t="shared" si="50"/>
        <v>22903</v>
      </c>
      <c r="F570" s="781">
        <f t="shared" si="44"/>
        <v>492414.5</v>
      </c>
      <c r="G570" s="728">
        <f t="shared" si="49"/>
        <v>503866</v>
      </c>
      <c r="H570" s="786">
        <f>+J523*G570+E570</f>
        <v>79020.19186623403</v>
      </c>
      <c r="I570" s="787">
        <f>+J524*G570+E570</f>
        <v>79020.19186623403</v>
      </c>
      <c r="J570" s="784">
        <f t="shared" si="51"/>
        <v>0</v>
      </c>
      <c r="K570" s="784"/>
      <c r="L570" s="804"/>
      <c r="M570" s="784">
        <f t="shared" si="45"/>
        <v>0</v>
      </c>
      <c r="N570" s="804"/>
      <c r="O570" s="784">
        <f t="shared" si="46"/>
        <v>0</v>
      </c>
      <c r="P570" s="784">
        <f t="shared" si="47"/>
        <v>0</v>
      </c>
    </row>
    <row r="571" spans="3:16" ht="12.75">
      <c r="C571" s="780">
        <f>IF(D522="","-",+C570+1)</f>
        <v>2058</v>
      </c>
      <c r="D571" s="728">
        <f t="shared" si="48"/>
        <v>492414.5</v>
      </c>
      <c r="E571" s="781">
        <f t="shared" si="50"/>
        <v>22903</v>
      </c>
      <c r="F571" s="781">
        <f t="shared" si="44"/>
        <v>469511.5</v>
      </c>
      <c r="G571" s="728">
        <f t="shared" si="49"/>
        <v>480963</v>
      </c>
      <c r="H571" s="786">
        <f>+J523*G571+E571</f>
        <v>76469.41041776884</v>
      </c>
      <c r="I571" s="787">
        <f>+J524*G571+E571</f>
        <v>76469.41041776884</v>
      </c>
      <c r="J571" s="784">
        <f t="shared" si="51"/>
        <v>0</v>
      </c>
      <c r="K571" s="784"/>
      <c r="L571" s="804"/>
      <c r="M571" s="784">
        <f t="shared" si="45"/>
        <v>0</v>
      </c>
      <c r="N571" s="804"/>
      <c r="O571" s="784">
        <f t="shared" si="46"/>
        <v>0</v>
      </c>
      <c r="P571" s="784">
        <f t="shared" si="47"/>
        <v>0</v>
      </c>
    </row>
    <row r="572" spans="3:16" ht="12.75">
      <c r="C572" s="780">
        <f>IF(D522="","-",+C571+1)</f>
        <v>2059</v>
      </c>
      <c r="D572" s="728">
        <f t="shared" si="48"/>
        <v>469511.5</v>
      </c>
      <c r="E572" s="781">
        <f t="shared" si="50"/>
        <v>22903</v>
      </c>
      <c r="F572" s="781">
        <f t="shared" si="44"/>
        <v>446608.5</v>
      </c>
      <c r="G572" s="728">
        <f t="shared" si="49"/>
        <v>458060</v>
      </c>
      <c r="H572" s="786">
        <f>+J523*G572+E572</f>
        <v>73918.62896930365</v>
      </c>
      <c r="I572" s="787">
        <f>+J524*G572+E572</f>
        <v>73918.62896930365</v>
      </c>
      <c r="J572" s="784">
        <f t="shared" si="51"/>
        <v>0</v>
      </c>
      <c r="K572" s="784"/>
      <c r="L572" s="804"/>
      <c r="M572" s="784">
        <f t="shared" si="45"/>
        <v>0</v>
      </c>
      <c r="N572" s="804"/>
      <c r="O572" s="784">
        <f t="shared" si="46"/>
        <v>0</v>
      </c>
      <c r="P572" s="784">
        <f t="shared" si="47"/>
        <v>0</v>
      </c>
    </row>
    <row r="573" spans="3:16" ht="12.75">
      <c r="C573" s="780">
        <f>IF(D522="","-",+C572+1)</f>
        <v>2060</v>
      </c>
      <c r="D573" s="728">
        <f t="shared" si="48"/>
        <v>446608.5</v>
      </c>
      <c r="E573" s="781">
        <f t="shared" si="50"/>
        <v>22903</v>
      </c>
      <c r="F573" s="781">
        <f t="shared" si="44"/>
        <v>423705.5</v>
      </c>
      <c r="G573" s="728">
        <f t="shared" si="49"/>
        <v>435157</v>
      </c>
      <c r="H573" s="786">
        <f>+J523*G573+E573</f>
        <v>71367.84752083848</v>
      </c>
      <c r="I573" s="787">
        <f>+J524*G573+E573</f>
        <v>71367.84752083848</v>
      </c>
      <c r="J573" s="784">
        <f t="shared" si="51"/>
        <v>0</v>
      </c>
      <c r="K573" s="784"/>
      <c r="L573" s="804"/>
      <c r="M573" s="784">
        <f t="shared" si="45"/>
        <v>0</v>
      </c>
      <c r="N573" s="804"/>
      <c r="O573" s="784">
        <f t="shared" si="46"/>
        <v>0</v>
      </c>
      <c r="P573" s="784">
        <f t="shared" si="47"/>
        <v>0</v>
      </c>
    </row>
    <row r="574" spans="3:16" ht="12.75">
      <c r="C574" s="780">
        <f>IF(D522="","-",+C573+1)</f>
        <v>2061</v>
      </c>
      <c r="D574" s="728">
        <f t="shared" si="48"/>
        <v>423705.5</v>
      </c>
      <c r="E574" s="781">
        <f t="shared" si="50"/>
        <v>22903</v>
      </c>
      <c r="F574" s="781">
        <f t="shared" si="44"/>
        <v>400802.5</v>
      </c>
      <c r="G574" s="728">
        <f t="shared" si="49"/>
        <v>412254</v>
      </c>
      <c r="H574" s="786">
        <f>+J523*G574+E574</f>
        <v>68817.0660723733</v>
      </c>
      <c r="I574" s="787">
        <f>+J524*G574+E574</f>
        <v>68817.0660723733</v>
      </c>
      <c r="J574" s="784">
        <f t="shared" si="51"/>
        <v>0</v>
      </c>
      <c r="K574" s="784"/>
      <c r="L574" s="804"/>
      <c r="M574" s="784">
        <f t="shared" si="45"/>
        <v>0</v>
      </c>
      <c r="N574" s="804"/>
      <c r="O574" s="784">
        <f t="shared" si="46"/>
        <v>0</v>
      </c>
      <c r="P574" s="784">
        <f t="shared" si="47"/>
        <v>0</v>
      </c>
    </row>
    <row r="575" spans="3:16" ht="12.75">
      <c r="C575" s="780">
        <f>IF(D522="","-",+C574+1)</f>
        <v>2062</v>
      </c>
      <c r="D575" s="728">
        <f t="shared" si="48"/>
        <v>400802.5</v>
      </c>
      <c r="E575" s="781">
        <f t="shared" si="50"/>
        <v>22903</v>
      </c>
      <c r="F575" s="781">
        <f t="shared" si="44"/>
        <v>377899.5</v>
      </c>
      <c r="G575" s="728">
        <f t="shared" si="49"/>
        <v>389351</v>
      </c>
      <c r="H575" s="786">
        <f>+J523*G575+E575</f>
        <v>66266.28462390811</v>
      </c>
      <c r="I575" s="787">
        <f>+J524*G575+E575</f>
        <v>66266.28462390811</v>
      </c>
      <c r="J575" s="784">
        <f t="shared" si="51"/>
        <v>0</v>
      </c>
      <c r="K575" s="784"/>
      <c r="L575" s="804"/>
      <c r="M575" s="784">
        <f t="shared" si="45"/>
        <v>0</v>
      </c>
      <c r="N575" s="804"/>
      <c r="O575" s="784">
        <f t="shared" si="46"/>
        <v>0</v>
      </c>
      <c r="P575" s="784">
        <f t="shared" si="47"/>
        <v>0</v>
      </c>
    </row>
    <row r="576" spans="3:16" ht="12.75">
      <c r="C576" s="780">
        <f>IF(D522="","-",+C575+1)</f>
        <v>2063</v>
      </c>
      <c r="D576" s="728">
        <f t="shared" si="48"/>
        <v>377899.5</v>
      </c>
      <c r="E576" s="781">
        <f t="shared" si="50"/>
        <v>22903</v>
      </c>
      <c r="F576" s="781">
        <f t="shared" si="44"/>
        <v>354996.5</v>
      </c>
      <c r="G576" s="728">
        <f t="shared" si="49"/>
        <v>366448</v>
      </c>
      <c r="H576" s="786">
        <f>+J523*G576+E576</f>
        <v>63715.50317544293</v>
      </c>
      <c r="I576" s="787">
        <f>+J524*G576+E576</f>
        <v>63715.50317544293</v>
      </c>
      <c r="J576" s="784">
        <f t="shared" si="51"/>
        <v>0</v>
      </c>
      <c r="K576" s="784"/>
      <c r="L576" s="804"/>
      <c r="M576" s="784">
        <f t="shared" si="45"/>
        <v>0</v>
      </c>
      <c r="N576" s="804"/>
      <c r="O576" s="784">
        <f t="shared" si="46"/>
        <v>0</v>
      </c>
      <c r="P576" s="784">
        <f t="shared" si="47"/>
        <v>0</v>
      </c>
    </row>
    <row r="577" spans="3:16" ht="12.75">
      <c r="C577" s="780">
        <f>IF(D522="","-",+C576+1)</f>
        <v>2064</v>
      </c>
      <c r="D577" s="728">
        <f t="shared" si="48"/>
        <v>354996.5</v>
      </c>
      <c r="E577" s="781">
        <f t="shared" si="50"/>
        <v>22903</v>
      </c>
      <c r="F577" s="781">
        <f t="shared" si="44"/>
        <v>332093.5</v>
      </c>
      <c r="G577" s="728">
        <f t="shared" si="49"/>
        <v>343545</v>
      </c>
      <c r="H577" s="786">
        <f>+J523*G577+E577</f>
        <v>61164.72172697775</v>
      </c>
      <c r="I577" s="787">
        <f>+J524*G577+E577</f>
        <v>61164.72172697775</v>
      </c>
      <c r="J577" s="784">
        <f t="shared" si="51"/>
        <v>0</v>
      </c>
      <c r="K577" s="784"/>
      <c r="L577" s="804"/>
      <c r="M577" s="784">
        <f t="shared" si="45"/>
        <v>0</v>
      </c>
      <c r="N577" s="804"/>
      <c r="O577" s="784">
        <f t="shared" si="46"/>
        <v>0</v>
      </c>
      <c r="P577" s="784">
        <f t="shared" si="47"/>
        <v>0</v>
      </c>
    </row>
    <row r="578" spans="3:16" ht="12.75">
      <c r="C578" s="780">
        <f>IF(D522="","-",+C577+1)</f>
        <v>2065</v>
      </c>
      <c r="D578" s="728">
        <f t="shared" si="48"/>
        <v>332093.5</v>
      </c>
      <c r="E578" s="781">
        <f t="shared" si="50"/>
        <v>22903</v>
      </c>
      <c r="F578" s="781">
        <f t="shared" si="44"/>
        <v>309190.5</v>
      </c>
      <c r="G578" s="728">
        <f t="shared" si="49"/>
        <v>320642</v>
      </c>
      <c r="H578" s="786">
        <f>+J523*G578+E578</f>
        <v>58613.940278512564</v>
      </c>
      <c r="I578" s="787">
        <f>+J524*G578+E578</f>
        <v>58613.940278512564</v>
      </c>
      <c r="J578" s="784">
        <f t="shared" si="51"/>
        <v>0</v>
      </c>
      <c r="K578" s="784"/>
      <c r="L578" s="804"/>
      <c r="M578" s="784">
        <f t="shared" si="45"/>
        <v>0</v>
      </c>
      <c r="N578" s="804"/>
      <c r="O578" s="784">
        <f t="shared" si="46"/>
        <v>0</v>
      </c>
      <c r="P578" s="784">
        <f t="shared" si="47"/>
        <v>0</v>
      </c>
    </row>
    <row r="579" spans="3:16" ht="12.75">
      <c r="C579" s="780">
        <f>IF(D522="","-",+C578+1)</f>
        <v>2066</v>
      </c>
      <c r="D579" s="728">
        <f t="shared" si="48"/>
        <v>309190.5</v>
      </c>
      <c r="E579" s="781">
        <f t="shared" si="50"/>
        <v>22903</v>
      </c>
      <c r="F579" s="781">
        <f t="shared" si="44"/>
        <v>286287.5</v>
      </c>
      <c r="G579" s="728">
        <f t="shared" si="49"/>
        <v>297739</v>
      </c>
      <c r="H579" s="786">
        <f>+J523*G579+E579</f>
        <v>56063.15883004738</v>
      </c>
      <c r="I579" s="787">
        <f>+J524*G579+E579</f>
        <v>56063.15883004738</v>
      </c>
      <c r="J579" s="784">
        <f t="shared" si="51"/>
        <v>0</v>
      </c>
      <c r="K579" s="784"/>
      <c r="L579" s="804"/>
      <c r="M579" s="784">
        <f t="shared" si="45"/>
        <v>0</v>
      </c>
      <c r="N579" s="804"/>
      <c r="O579" s="784">
        <f t="shared" si="46"/>
        <v>0</v>
      </c>
      <c r="P579" s="784">
        <f t="shared" si="47"/>
        <v>0</v>
      </c>
    </row>
    <row r="580" spans="3:16" ht="12.75">
      <c r="C580" s="780">
        <f>IF(D522="","-",+C579+1)</f>
        <v>2067</v>
      </c>
      <c r="D580" s="728">
        <f t="shared" si="48"/>
        <v>286287.5</v>
      </c>
      <c r="E580" s="781">
        <f t="shared" si="50"/>
        <v>22903</v>
      </c>
      <c r="F580" s="781">
        <f t="shared" si="44"/>
        <v>263384.5</v>
      </c>
      <c r="G580" s="728">
        <f t="shared" si="49"/>
        <v>274836</v>
      </c>
      <c r="H580" s="786">
        <f>+J523*G580+E580</f>
        <v>53512.3773815822</v>
      </c>
      <c r="I580" s="787">
        <f>+J524*G580+E580</f>
        <v>53512.3773815822</v>
      </c>
      <c r="J580" s="784">
        <f t="shared" si="51"/>
        <v>0</v>
      </c>
      <c r="K580" s="784"/>
      <c r="L580" s="804"/>
      <c r="M580" s="784">
        <f t="shared" si="45"/>
        <v>0</v>
      </c>
      <c r="N580" s="804"/>
      <c r="O580" s="784">
        <f t="shared" si="46"/>
        <v>0</v>
      </c>
      <c r="P580" s="784">
        <f t="shared" si="47"/>
        <v>0</v>
      </c>
    </row>
    <row r="581" spans="3:16" ht="12.75">
      <c r="C581" s="780">
        <f>IF(D522="","-",+C580+1)</f>
        <v>2068</v>
      </c>
      <c r="D581" s="728">
        <f t="shared" si="48"/>
        <v>263384.5</v>
      </c>
      <c r="E581" s="781">
        <f t="shared" si="50"/>
        <v>22903</v>
      </c>
      <c r="F581" s="781">
        <f t="shared" si="44"/>
        <v>240481.5</v>
      </c>
      <c r="G581" s="728">
        <f t="shared" si="49"/>
        <v>251933</v>
      </c>
      <c r="H581" s="786">
        <f>+J523*G581+E581</f>
        <v>50961.595933117016</v>
      </c>
      <c r="I581" s="787">
        <f>+J524*G581+E581</f>
        <v>50961.595933117016</v>
      </c>
      <c r="J581" s="784">
        <f t="shared" si="51"/>
        <v>0</v>
      </c>
      <c r="K581" s="784"/>
      <c r="L581" s="804"/>
      <c r="M581" s="784">
        <f t="shared" si="45"/>
        <v>0</v>
      </c>
      <c r="N581" s="804"/>
      <c r="O581" s="784">
        <f t="shared" si="46"/>
        <v>0</v>
      </c>
      <c r="P581" s="784">
        <f t="shared" si="47"/>
        <v>0</v>
      </c>
    </row>
    <row r="582" spans="3:16" ht="12.75">
      <c r="C582" s="780">
        <f>IF(D522="","-",+C581+1)</f>
        <v>2069</v>
      </c>
      <c r="D582" s="728">
        <f aca="true" t="shared" si="52" ref="D582:D587">F581</f>
        <v>240481.5</v>
      </c>
      <c r="E582" s="781">
        <f t="shared" si="50"/>
        <v>22903</v>
      </c>
      <c r="F582" s="781">
        <f t="shared" si="44"/>
        <v>217578.5</v>
      </c>
      <c r="G582" s="728">
        <f t="shared" si="49"/>
        <v>229030</v>
      </c>
      <c r="H582" s="786">
        <f>+J523*G582+E582</f>
        <v>48410.814484651826</v>
      </c>
      <c r="I582" s="787">
        <f>+J524*G582+E582</f>
        <v>48410.814484651826</v>
      </c>
      <c r="J582" s="784">
        <f t="shared" si="51"/>
        <v>0</v>
      </c>
      <c r="K582" s="784"/>
      <c r="L582" s="804"/>
      <c r="M582" s="784">
        <f t="shared" si="45"/>
        <v>0</v>
      </c>
      <c r="N582" s="804"/>
      <c r="O582" s="784">
        <f t="shared" si="46"/>
        <v>0</v>
      </c>
      <c r="P582" s="784">
        <f t="shared" si="47"/>
        <v>0</v>
      </c>
    </row>
    <row r="583" spans="3:16" ht="12.75">
      <c r="C583" s="780">
        <f>IF(D522="","-",+C582+1)</f>
        <v>2070</v>
      </c>
      <c r="D583" s="728">
        <f t="shared" si="52"/>
        <v>217578.5</v>
      </c>
      <c r="E583" s="781">
        <f t="shared" si="50"/>
        <v>22903</v>
      </c>
      <c r="F583" s="781">
        <f t="shared" si="44"/>
        <v>194675.5</v>
      </c>
      <c r="G583" s="728">
        <f t="shared" si="49"/>
        <v>206127</v>
      </c>
      <c r="H583" s="786">
        <f>+J523*G583+E583</f>
        <v>45860.03303618665</v>
      </c>
      <c r="I583" s="787">
        <f>+J524*G583+E583</f>
        <v>45860.03303618665</v>
      </c>
      <c r="J583" s="784">
        <f t="shared" si="51"/>
        <v>0</v>
      </c>
      <c r="K583" s="784"/>
      <c r="L583" s="804"/>
      <c r="M583" s="784">
        <f t="shared" si="45"/>
        <v>0</v>
      </c>
      <c r="N583" s="804"/>
      <c r="O583" s="784">
        <f t="shared" si="46"/>
        <v>0</v>
      </c>
      <c r="P583" s="784">
        <f t="shared" si="47"/>
        <v>0</v>
      </c>
    </row>
    <row r="584" spans="3:16" ht="12.75">
      <c r="C584" s="780">
        <f>IF(D522="","-",+C583+1)</f>
        <v>2071</v>
      </c>
      <c r="D584" s="728">
        <f t="shared" si="52"/>
        <v>194675.5</v>
      </c>
      <c r="E584" s="781">
        <f t="shared" si="50"/>
        <v>22903</v>
      </c>
      <c r="F584" s="781">
        <f t="shared" si="44"/>
        <v>171772.5</v>
      </c>
      <c r="G584" s="728">
        <f t="shared" si="49"/>
        <v>183224</v>
      </c>
      <c r="H584" s="786">
        <f>+J523*G584+E584</f>
        <v>43309.25158772146</v>
      </c>
      <c r="I584" s="787">
        <f>+J524*G584+E584</f>
        <v>43309.25158772146</v>
      </c>
      <c r="J584" s="784">
        <f t="shared" si="51"/>
        <v>0</v>
      </c>
      <c r="K584" s="784"/>
      <c r="L584" s="804"/>
      <c r="M584" s="784">
        <f t="shared" si="45"/>
        <v>0</v>
      </c>
      <c r="N584" s="804"/>
      <c r="O584" s="784">
        <f t="shared" si="46"/>
        <v>0</v>
      </c>
      <c r="P584" s="784">
        <f t="shared" si="47"/>
        <v>0</v>
      </c>
    </row>
    <row r="585" spans="3:16" ht="12.75">
      <c r="C585" s="780">
        <f>IF(D522="","-",+C584+1)</f>
        <v>2072</v>
      </c>
      <c r="D585" s="728">
        <f t="shared" si="52"/>
        <v>171772.5</v>
      </c>
      <c r="E585" s="781">
        <f t="shared" si="50"/>
        <v>22903</v>
      </c>
      <c r="F585" s="781">
        <f t="shared" si="44"/>
        <v>148869.5</v>
      </c>
      <c r="G585" s="728">
        <f t="shared" si="49"/>
        <v>160321</v>
      </c>
      <c r="H585" s="786">
        <f>+J523*G585+E585</f>
        <v>40758.470139256286</v>
      </c>
      <c r="I585" s="787">
        <f>+J524*G585+E585</f>
        <v>40758.470139256286</v>
      </c>
      <c r="J585" s="784">
        <f t="shared" si="51"/>
        <v>0</v>
      </c>
      <c r="K585" s="784"/>
      <c r="L585" s="804"/>
      <c r="M585" s="784">
        <f t="shared" si="45"/>
        <v>0</v>
      </c>
      <c r="N585" s="804"/>
      <c r="O585" s="784">
        <f t="shared" si="46"/>
        <v>0</v>
      </c>
      <c r="P585" s="784">
        <f t="shared" si="47"/>
        <v>0</v>
      </c>
    </row>
    <row r="586" spans="3:16" ht="12.75">
      <c r="C586" s="780">
        <f>IF(D522="","-",+C585+1)</f>
        <v>2073</v>
      </c>
      <c r="D586" s="728">
        <f t="shared" si="52"/>
        <v>148869.5</v>
      </c>
      <c r="E586" s="781">
        <f t="shared" si="50"/>
        <v>22903</v>
      </c>
      <c r="F586" s="781">
        <f t="shared" si="44"/>
        <v>125966.5</v>
      </c>
      <c r="G586" s="728">
        <f t="shared" si="49"/>
        <v>137418</v>
      </c>
      <c r="H586" s="786">
        <f>+J523*G586+E586</f>
        <v>38207.688690791096</v>
      </c>
      <c r="I586" s="787">
        <f>+J524*G586+E586</f>
        <v>38207.688690791096</v>
      </c>
      <c r="J586" s="784">
        <f t="shared" si="51"/>
        <v>0</v>
      </c>
      <c r="K586" s="784"/>
      <c r="L586" s="804"/>
      <c r="M586" s="784">
        <f t="shared" si="45"/>
        <v>0</v>
      </c>
      <c r="N586" s="804"/>
      <c r="O586" s="784">
        <f t="shared" si="46"/>
        <v>0</v>
      </c>
      <c r="P586" s="784">
        <f t="shared" si="47"/>
        <v>0</v>
      </c>
    </row>
    <row r="587" spans="3:16" ht="13.5" thickBot="1">
      <c r="C587" s="790">
        <f>IF(D522="","-",+C586+1)</f>
        <v>2074</v>
      </c>
      <c r="D587" s="791">
        <f t="shared" si="52"/>
        <v>125966.5</v>
      </c>
      <c r="E587" s="781">
        <f t="shared" si="50"/>
        <v>22903</v>
      </c>
      <c r="F587" s="792">
        <f t="shared" si="44"/>
        <v>103063.5</v>
      </c>
      <c r="G587" s="791">
        <f t="shared" si="49"/>
        <v>114515</v>
      </c>
      <c r="H587" s="793">
        <f>+J523*G587+E587</f>
        <v>35656.90724232591</v>
      </c>
      <c r="I587" s="793">
        <f>+J524*G587+E587</f>
        <v>35656.90724232591</v>
      </c>
      <c r="J587" s="794">
        <f t="shared" si="51"/>
        <v>0</v>
      </c>
      <c r="K587" s="784"/>
      <c r="L587" s="805"/>
      <c r="M587" s="794">
        <f t="shared" si="45"/>
        <v>0</v>
      </c>
      <c r="N587" s="805"/>
      <c r="O587" s="794">
        <f t="shared" si="46"/>
        <v>0</v>
      </c>
      <c r="P587" s="794">
        <f t="shared" si="47"/>
        <v>0</v>
      </c>
    </row>
    <row r="588" spans="3:15" ht="12.75">
      <c r="C588" s="728" t="s">
        <v>92</v>
      </c>
      <c r="D588" s="722"/>
      <c r="E588" s="722">
        <f>SUM(E528:E587)</f>
        <v>1362728.5</v>
      </c>
      <c r="F588" s="722"/>
      <c r="G588" s="722"/>
      <c r="H588" s="722">
        <f>SUM(H528:H587)</f>
        <v>6642208.402960814</v>
      </c>
      <c r="I588" s="722">
        <f>SUM(I528:I587)</f>
        <v>6642208.402960814</v>
      </c>
      <c r="J588" s="722">
        <f>SUM(J528:J587)</f>
        <v>0</v>
      </c>
      <c r="K588" s="722"/>
      <c r="L588" s="722"/>
      <c r="M588" s="722"/>
      <c r="N588" s="722"/>
      <c r="O588" s="722"/>
    </row>
    <row r="589" spans="4:15" ht="12.75">
      <c r="D589" s="532"/>
      <c r="E589" s="308"/>
      <c r="F589" s="308"/>
      <c r="G589" s="308"/>
      <c r="H589" s="308"/>
      <c r="I589" s="701"/>
      <c r="J589" s="701"/>
      <c r="K589" s="722"/>
      <c r="L589" s="701"/>
      <c r="M589" s="701"/>
      <c r="N589" s="701"/>
      <c r="O589" s="701"/>
    </row>
    <row r="590" spans="3:15" ht="12.75">
      <c r="C590" s="308" t="s">
        <v>14</v>
      </c>
      <c r="D590" s="532"/>
      <c r="E590" s="308"/>
      <c r="F590" s="308"/>
      <c r="G590" s="308"/>
      <c r="H590" s="308"/>
      <c r="I590" s="701"/>
      <c r="J590" s="701"/>
      <c r="K590" s="722"/>
      <c r="L590" s="701"/>
      <c r="M590" s="701"/>
      <c r="N590" s="701"/>
      <c r="O590" s="701"/>
    </row>
    <row r="591" spans="3:15" ht="12.75">
      <c r="C591" s="308"/>
      <c r="D591" s="532"/>
      <c r="E591" s="308"/>
      <c r="F591" s="308"/>
      <c r="G591" s="308"/>
      <c r="H591" s="308"/>
      <c r="I591" s="701"/>
      <c r="J591" s="701"/>
      <c r="K591" s="722"/>
      <c r="L591" s="701"/>
      <c r="M591" s="701"/>
      <c r="N591" s="701"/>
      <c r="O591" s="701"/>
    </row>
    <row r="592" spans="3:15" ht="12.75">
      <c r="C592" s="741" t="s">
        <v>15</v>
      </c>
      <c r="D592" s="728"/>
      <c r="E592" s="728"/>
      <c r="F592" s="728"/>
      <c r="G592" s="728"/>
      <c r="H592" s="722"/>
      <c r="I592" s="722"/>
      <c r="J592" s="796"/>
      <c r="K592" s="796"/>
      <c r="L592" s="796"/>
      <c r="M592" s="796"/>
      <c r="N592" s="796"/>
      <c r="O592" s="796"/>
    </row>
    <row r="593" spans="3:15" ht="12.75">
      <c r="C593" s="727" t="s">
        <v>272</v>
      </c>
      <c r="D593" s="728"/>
      <c r="E593" s="728"/>
      <c r="F593" s="728"/>
      <c r="G593" s="728"/>
      <c r="H593" s="722"/>
      <c r="I593" s="722"/>
      <c r="J593" s="796"/>
      <c r="K593" s="796"/>
      <c r="L593" s="796"/>
      <c r="M593" s="796"/>
      <c r="N593" s="796"/>
      <c r="O593" s="796"/>
    </row>
    <row r="594" spans="3:15" ht="12.75">
      <c r="C594" s="727" t="s">
        <v>93</v>
      </c>
      <c r="D594" s="728"/>
      <c r="E594" s="728"/>
      <c r="F594" s="728"/>
      <c r="G594" s="728"/>
      <c r="H594" s="722"/>
      <c r="I594" s="722"/>
      <c r="J594" s="796"/>
      <c r="K594" s="796"/>
      <c r="L594" s="796"/>
      <c r="M594" s="796"/>
      <c r="N594" s="796"/>
      <c r="O594" s="796"/>
    </row>
    <row r="595" spans="1:17" ht="20.25">
      <c r="A595" s="729" t="str">
        <f>""&amp;A520&amp;" Worksheet K -  ATRR TRUE-UP Calculation for PJM Projects Charged to Benefiting Zones"</f>
        <v> Worksheet K -  ATRR TRUE-UP Calculation for PJM Projects Charged to Benefiting Zones</v>
      </c>
      <c r="B595" s="341"/>
      <c r="C595" s="717"/>
      <c r="D595" s="532"/>
      <c r="E595" s="308"/>
      <c r="F595" s="700"/>
      <c r="G595" s="700"/>
      <c r="H595" s="308"/>
      <c r="I595" s="701"/>
      <c r="L595" s="557"/>
      <c r="M595" s="557"/>
      <c r="N595" s="557"/>
      <c r="O595" s="646" t="str">
        <f>"Page "&amp;SUM(Q$6:Q595)&amp;" of "</f>
        <v>Page 8 of </v>
      </c>
      <c r="P595" s="647">
        <f>COUNT(Q$6:Q$58387)</f>
        <v>12</v>
      </c>
      <c r="Q595" s="730">
        <v>1</v>
      </c>
    </row>
    <row r="596" spans="2:11" ht="12.75">
      <c r="B596" s="341"/>
      <c r="C596" s="308"/>
      <c r="D596" s="532"/>
      <c r="E596" s="308"/>
      <c r="F596" s="308"/>
      <c r="G596" s="308"/>
      <c r="H596" s="308"/>
      <c r="I596" s="701"/>
      <c r="J596" s="308"/>
      <c r="K596" s="420"/>
    </row>
    <row r="597" spans="2:17" ht="18">
      <c r="B597" s="650" t="s">
        <v>475</v>
      </c>
      <c r="C597" s="731" t="s">
        <v>94</v>
      </c>
      <c r="D597" s="532"/>
      <c r="E597" s="308"/>
      <c r="F597" s="308"/>
      <c r="G597" s="308"/>
      <c r="H597" s="308"/>
      <c r="I597" s="701"/>
      <c r="J597" s="701"/>
      <c r="K597" s="722"/>
      <c r="L597" s="701"/>
      <c r="M597" s="701"/>
      <c r="N597" s="701"/>
      <c r="O597" s="701"/>
      <c r="Q597" s="420"/>
    </row>
    <row r="598" spans="2:15" ht="18.75">
      <c r="B598" s="650"/>
      <c r="C598" s="649"/>
      <c r="D598" s="532"/>
      <c r="E598" s="308"/>
      <c r="F598" s="308"/>
      <c r="G598" s="308"/>
      <c r="H598" s="308"/>
      <c r="I598" s="701"/>
      <c r="J598" s="701"/>
      <c r="K598" s="722"/>
      <c r="L598" s="701"/>
      <c r="M598" s="701"/>
      <c r="N598" s="701"/>
      <c r="O598" s="701"/>
    </row>
    <row r="599" spans="2:15" ht="18.75">
      <c r="B599" s="650"/>
      <c r="C599" s="649" t="s">
        <v>95</v>
      </c>
      <c r="D599" s="532"/>
      <c r="E599" s="308"/>
      <c r="F599" s="308"/>
      <c r="G599" s="308"/>
      <c r="H599" s="308"/>
      <c r="I599" s="701"/>
      <c r="J599" s="701"/>
      <c r="K599" s="722"/>
      <c r="L599" s="701"/>
      <c r="M599" s="701"/>
      <c r="N599" s="701"/>
      <c r="O599" s="701"/>
    </row>
    <row r="600" spans="3:15" ht="15.75" thickBot="1">
      <c r="C600" s="236"/>
      <c r="D600" s="532"/>
      <c r="E600" s="308"/>
      <c r="F600" s="308"/>
      <c r="G600" s="308"/>
      <c r="H600" s="308"/>
      <c r="I600" s="701"/>
      <c r="J600" s="701"/>
      <c r="K600" s="722"/>
      <c r="L600" s="701"/>
      <c r="M600" s="701"/>
      <c r="N600" s="701"/>
      <c r="O600" s="701"/>
    </row>
    <row r="601" spans="3:15" ht="15.75">
      <c r="C601" s="652" t="s">
        <v>96</v>
      </c>
      <c r="D601" s="532"/>
      <c r="E601" s="308"/>
      <c r="F601" s="308"/>
      <c r="G601" s="308"/>
      <c r="H601" s="798"/>
      <c r="I601" s="308" t="s">
        <v>75</v>
      </c>
      <c r="J601" s="308"/>
      <c r="K601" s="420"/>
      <c r="L601" s="827">
        <f>+J607</f>
        <v>2017</v>
      </c>
      <c r="M601" s="808" t="s">
        <v>53</v>
      </c>
      <c r="N601" s="808" t="s">
        <v>54</v>
      </c>
      <c r="O601" s="809" t="s">
        <v>56</v>
      </c>
    </row>
    <row r="602" spans="3:15" ht="15.75">
      <c r="C602" s="652"/>
      <c r="D602" s="532"/>
      <c r="E602" s="308"/>
      <c r="F602" s="308"/>
      <c r="H602" s="308"/>
      <c r="I602" s="736"/>
      <c r="J602" s="736"/>
      <c r="K602" s="737"/>
      <c r="L602" s="828" t="s">
        <v>244</v>
      </c>
      <c r="M602" s="829">
        <f>VLOOKUP(J607,C614:P673,10)</f>
        <v>19038423</v>
      </c>
      <c r="N602" s="829">
        <f>VLOOKUP(J607,C614:P673,12)</f>
        <v>19038423</v>
      </c>
      <c r="O602" s="830">
        <f>+N602-M602</f>
        <v>0</v>
      </c>
    </row>
    <row r="603" spans="3:15" ht="12.75" customHeight="1">
      <c r="C603" s="741" t="s">
        <v>97</v>
      </c>
      <c r="D603" s="1472" t="s">
        <v>919</v>
      </c>
      <c r="E603" s="1472"/>
      <c r="F603" s="1472"/>
      <c r="G603" s="1472"/>
      <c r="H603" s="1472"/>
      <c r="I603" s="1472"/>
      <c r="J603" s="1472"/>
      <c r="K603" s="722"/>
      <c r="L603" s="828" t="s">
        <v>245</v>
      </c>
      <c r="M603" s="831">
        <f>VLOOKUP(J607,C614:P673,6)</f>
        <v>18678391.8357168</v>
      </c>
      <c r="N603" s="831">
        <f>VLOOKUP(J607,C614:P673,7)</f>
        <v>18678391.8357168</v>
      </c>
      <c r="O603" s="832">
        <f>+N603-M603</f>
        <v>0</v>
      </c>
    </row>
    <row r="604" spans="3:15" ht="13.5" thickBot="1">
      <c r="C604" s="745"/>
      <c r="D604" s="1472"/>
      <c r="E604" s="1472"/>
      <c r="F604" s="1472"/>
      <c r="G604" s="1472"/>
      <c r="H604" s="1472"/>
      <c r="I604" s="1472"/>
      <c r="J604" s="1472"/>
      <c r="K604" s="722"/>
      <c r="L604" s="764" t="s">
        <v>246</v>
      </c>
      <c r="M604" s="833">
        <f>+M603-M602</f>
        <v>-360031.1642832011</v>
      </c>
      <c r="N604" s="833">
        <f>+N603-N602</f>
        <v>-360031.1642832011</v>
      </c>
      <c r="O604" s="834">
        <f>+O603-O602</f>
        <v>0</v>
      </c>
    </row>
    <row r="605" spans="3:16" ht="13.5" thickBot="1">
      <c r="C605" s="748"/>
      <c r="D605" s="749"/>
      <c r="E605" s="747"/>
      <c r="F605" s="747"/>
      <c r="G605" s="747"/>
      <c r="H605" s="747"/>
      <c r="I605" s="747"/>
      <c r="J605" s="747"/>
      <c r="K605" s="750"/>
      <c r="L605" s="747"/>
      <c r="M605" s="747"/>
      <c r="N605" s="747"/>
      <c r="O605" s="747"/>
      <c r="P605" s="341"/>
    </row>
    <row r="606" spans="3:16" ht="13.5" thickBot="1">
      <c r="C606" s="751" t="s">
        <v>98</v>
      </c>
      <c r="D606" s="752"/>
      <c r="E606" s="752"/>
      <c r="F606" s="752"/>
      <c r="G606" s="752"/>
      <c r="H606" s="752"/>
      <c r="I606" s="752"/>
      <c r="J606" s="752"/>
      <c r="K606" s="754"/>
      <c r="P606" s="755"/>
    </row>
    <row r="607" spans="3:16" ht="15">
      <c r="C607" s="756" t="s">
        <v>76</v>
      </c>
      <c r="D607" s="1374">
        <v>151397955</v>
      </c>
      <c r="E607" s="717" t="s">
        <v>77</v>
      </c>
      <c r="H607" s="757"/>
      <c r="I607" s="757"/>
      <c r="J607" s="758">
        <v>2017</v>
      </c>
      <c r="K607" s="548"/>
      <c r="L607" s="1462" t="s">
        <v>78</v>
      </c>
      <c r="M607" s="1462"/>
      <c r="N607" s="1462"/>
      <c r="O607" s="1462"/>
      <c r="P607" s="420"/>
    </row>
    <row r="608" spans="3:16" ht="12.75">
      <c r="C608" s="756" t="s">
        <v>79</v>
      </c>
      <c r="D608" s="1375">
        <v>2015</v>
      </c>
      <c r="E608" s="756" t="s">
        <v>80</v>
      </c>
      <c r="F608" s="757"/>
      <c r="G608" s="757"/>
      <c r="I608" s="169"/>
      <c r="J608" s="802">
        <f>IF(H601="",0,$F$15)</f>
        <v>0</v>
      </c>
      <c r="K608" s="759"/>
      <c r="L608" s="722" t="s">
        <v>286</v>
      </c>
      <c r="P608" s="420"/>
    </row>
    <row r="609" spans="3:16" ht="12.75">
      <c r="C609" s="756" t="s">
        <v>81</v>
      </c>
      <c r="D609" s="1374">
        <v>5</v>
      </c>
      <c r="E609" s="756" t="s">
        <v>82</v>
      </c>
      <c r="F609" s="757"/>
      <c r="G609" s="757"/>
      <c r="I609" s="169"/>
      <c r="J609" s="760">
        <f>$F$68</f>
        <v>0.11137324579597359</v>
      </c>
      <c r="K609" s="761"/>
      <c r="L609" s="308" t="str">
        <f>"          INPUT TRUE-UP ARR (WITH &amp; WITHOUT INCENTIVES) FROM EACH PRIOR YEAR"</f>
        <v>          INPUT TRUE-UP ARR (WITH &amp; WITHOUT INCENTIVES) FROM EACH PRIOR YEAR</v>
      </c>
      <c r="P609" s="420"/>
    </row>
    <row r="610" spans="3:16" ht="12.75">
      <c r="C610" s="756" t="s">
        <v>83</v>
      </c>
      <c r="D610" s="762">
        <f>H$77</f>
        <v>64</v>
      </c>
      <c r="E610" s="756" t="s">
        <v>84</v>
      </c>
      <c r="F610" s="757"/>
      <c r="G610" s="757"/>
      <c r="I610" s="169"/>
      <c r="J610" s="760">
        <f>IF(H601="",+J609,$F$67)</f>
        <v>0.11137324579597359</v>
      </c>
      <c r="K610" s="763"/>
      <c r="L610" s="308" t="s">
        <v>166</v>
      </c>
      <c r="M610" s="763"/>
      <c r="N610" s="763"/>
      <c r="O610" s="763"/>
      <c r="P610" s="420"/>
    </row>
    <row r="611" spans="3:16" ht="13.5" thickBot="1">
      <c r="C611" s="756" t="s">
        <v>85</v>
      </c>
      <c r="D611" s="799" t="s">
        <v>877</v>
      </c>
      <c r="E611" s="764" t="s">
        <v>86</v>
      </c>
      <c r="F611" s="765"/>
      <c r="G611" s="765"/>
      <c r="H611" s="766"/>
      <c r="I611" s="766"/>
      <c r="J611" s="744">
        <f>IF(D607=0,0,D607/D610)</f>
        <v>2365593.046875</v>
      </c>
      <c r="K611" s="722"/>
      <c r="L611" s="722" t="s">
        <v>167</v>
      </c>
      <c r="M611" s="722"/>
      <c r="N611" s="722"/>
      <c r="O611" s="722"/>
      <c r="P611" s="420"/>
    </row>
    <row r="612" spans="2:16" ht="38.25">
      <c r="B612" s="837"/>
      <c r="C612" s="767" t="s">
        <v>76</v>
      </c>
      <c r="D612" s="768" t="s">
        <v>87</v>
      </c>
      <c r="E612" s="769" t="s">
        <v>88</v>
      </c>
      <c r="F612" s="768" t="s">
        <v>89</v>
      </c>
      <c r="G612" s="768" t="s">
        <v>247</v>
      </c>
      <c r="H612" s="769" t="s">
        <v>160</v>
      </c>
      <c r="I612" s="770" t="s">
        <v>160</v>
      </c>
      <c r="J612" s="767" t="s">
        <v>99</v>
      </c>
      <c r="K612" s="771"/>
      <c r="L612" s="769" t="s">
        <v>162</v>
      </c>
      <c r="M612" s="769" t="s">
        <v>168</v>
      </c>
      <c r="N612" s="769" t="s">
        <v>162</v>
      </c>
      <c r="O612" s="769" t="s">
        <v>170</v>
      </c>
      <c r="P612" s="769" t="s">
        <v>90</v>
      </c>
    </row>
    <row r="613" spans="3:16" ht="13.5" thickBot="1">
      <c r="C613" s="773" t="s">
        <v>478</v>
      </c>
      <c r="D613" s="774" t="s">
        <v>479</v>
      </c>
      <c r="E613" s="773" t="s">
        <v>372</v>
      </c>
      <c r="F613" s="774" t="s">
        <v>479</v>
      </c>
      <c r="G613" s="774" t="s">
        <v>479</v>
      </c>
      <c r="H613" s="775" t="s">
        <v>102</v>
      </c>
      <c r="I613" s="776" t="s">
        <v>104</v>
      </c>
      <c r="J613" s="777" t="s">
        <v>16</v>
      </c>
      <c r="K613" s="778"/>
      <c r="L613" s="775" t="s">
        <v>91</v>
      </c>
      <c r="M613" s="775" t="s">
        <v>91</v>
      </c>
      <c r="N613" s="775" t="s">
        <v>264</v>
      </c>
      <c r="O613" s="775" t="s">
        <v>264</v>
      </c>
      <c r="P613" s="775" t="s">
        <v>264</v>
      </c>
    </row>
    <row r="614" spans="3:16" ht="12.75">
      <c r="C614" s="780">
        <f>IF(D608="","-",D608)</f>
        <v>2015</v>
      </c>
      <c r="D614" s="728">
        <f>+D607</f>
        <v>151397955</v>
      </c>
      <c r="E614" s="786">
        <f>+J611/12*(12-D609)</f>
        <v>1379929.27734375</v>
      </c>
      <c r="F614" s="835">
        <f aca="true" t="shared" si="53" ref="F614:F673">+D614-E614</f>
        <v>150018025.72265625</v>
      </c>
      <c r="G614" s="728">
        <f>+(D614+F614)/2</f>
        <v>150707990.36132812</v>
      </c>
      <c r="H614" s="782">
        <f>+J609*G614+E614</f>
        <v>18164767.331273165</v>
      </c>
      <c r="I614" s="783">
        <f>+J610*G614+E614</f>
        <v>18164767.331273165</v>
      </c>
      <c r="J614" s="784">
        <f>+I614-H614</f>
        <v>0</v>
      </c>
      <c r="K614" s="784"/>
      <c r="L614" s="803">
        <v>772367</v>
      </c>
      <c r="M614" s="836">
        <f aca="true" t="shared" si="54" ref="M614:M673">IF(L614&lt;&gt;0,+H614-L614,0)</f>
        <v>17392400.331273165</v>
      </c>
      <c r="N614" s="803">
        <v>772367</v>
      </c>
      <c r="O614" s="836">
        <f aca="true" t="shared" si="55" ref="O614:O673">IF(N614&lt;&gt;0,+I614-N614,0)</f>
        <v>17392400.331273165</v>
      </c>
      <c r="P614" s="836">
        <f aca="true" t="shared" si="56" ref="P614:P673">+O614-M614</f>
        <v>0</v>
      </c>
    </row>
    <row r="615" spans="3:16" ht="12.75">
      <c r="C615" s="1308">
        <f>IF(D608="","-",+C614+1)</f>
        <v>2016</v>
      </c>
      <c r="D615" s="728">
        <f aca="true" t="shared" si="57" ref="D615:D667">F614</f>
        <v>150018025.72265625</v>
      </c>
      <c r="E615" s="781">
        <f>IF(D615&gt;$J$611,$J$611,D615)</f>
        <v>2365593.046875</v>
      </c>
      <c r="F615" s="781">
        <f t="shared" si="53"/>
        <v>147652432.67578125</v>
      </c>
      <c r="G615" s="728">
        <f aca="true" t="shared" si="58" ref="G615:G673">+(D615+F615)/2</f>
        <v>148835229.19921875</v>
      </c>
      <c r="H615" s="786">
        <f>+J609*G615+E615</f>
        <v>18941855.611579657</v>
      </c>
      <c r="I615" s="787">
        <f>+J610*G615+E615</f>
        <v>18941855.611579657</v>
      </c>
      <c r="J615" s="784">
        <f>+I615-H615</f>
        <v>0</v>
      </c>
      <c r="K615" s="784"/>
      <c r="L615" s="804">
        <v>15720783</v>
      </c>
      <c r="M615" s="784">
        <f t="shared" si="54"/>
        <v>3221072.6115796566</v>
      </c>
      <c r="N615" s="804">
        <v>15720783</v>
      </c>
      <c r="O615" s="784">
        <f t="shared" si="55"/>
        <v>3221072.6115796566</v>
      </c>
      <c r="P615" s="784">
        <f t="shared" si="56"/>
        <v>0</v>
      </c>
    </row>
    <row r="616" spans="3:16" ht="12.75">
      <c r="C616" s="1320">
        <f>IF(D608="","-",+C615+1)</f>
        <v>2017</v>
      </c>
      <c r="D616" s="728">
        <f t="shared" si="57"/>
        <v>147652432.67578125</v>
      </c>
      <c r="E616" s="781">
        <f aca="true" t="shared" si="59" ref="E616:E673">IF(D616&gt;$J$611,$J$611,D616)</f>
        <v>2365593.046875</v>
      </c>
      <c r="F616" s="781">
        <f t="shared" si="53"/>
        <v>145286839.62890625</v>
      </c>
      <c r="G616" s="728">
        <f t="shared" si="58"/>
        <v>146469636.15234375</v>
      </c>
      <c r="H616" s="786">
        <f>+J609*G616+E616</f>
        <v>18678391.8357168</v>
      </c>
      <c r="I616" s="787">
        <f>+J610*G616+E616</f>
        <v>18678391.8357168</v>
      </c>
      <c r="J616" s="784">
        <f aca="true" t="shared" si="60" ref="J616:J673">+I616-H616</f>
        <v>0</v>
      </c>
      <c r="K616" s="784"/>
      <c r="L616" s="804">
        <v>19038423</v>
      </c>
      <c r="M616" s="784">
        <f t="shared" si="54"/>
        <v>-360031.1642832011</v>
      </c>
      <c r="N616" s="804">
        <v>19038423</v>
      </c>
      <c r="O616" s="784">
        <f t="shared" si="55"/>
        <v>-360031.1642832011</v>
      </c>
      <c r="P616" s="784">
        <f t="shared" si="56"/>
        <v>0</v>
      </c>
    </row>
    <row r="617" spans="3:16" ht="12.75">
      <c r="C617" s="1308">
        <f>IF(D608="","-",+C616+1)</f>
        <v>2018</v>
      </c>
      <c r="D617" s="728">
        <f t="shared" si="57"/>
        <v>145286839.62890625</v>
      </c>
      <c r="E617" s="781">
        <f t="shared" si="59"/>
        <v>2365593.046875</v>
      </c>
      <c r="F617" s="781">
        <f t="shared" si="53"/>
        <v>142921246.58203125</v>
      </c>
      <c r="G617" s="728">
        <f t="shared" si="58"/>
        <v>144104043.10546875</v>
      </c>
      <c r="H617" s="786">
        <f>+J609*G617+E617</f>
        <v>18414928.059853945</v>
      </c>
      <c r="I617" s="787">
        <f>+J610*G617+E617</f>
        <v>18414928.059853945</v>
      </c>
      <c r="J617" s="784">
        <f t="shared" si="60"/>
        <v>0</v>
      </c>
      <c r="K617" s="784"/>
      <c r="L617" s="804"/>
      <c r="M617" s="784">
        <f t="shared" si="54"/>
        <v>0</v>
      </c>
      <c r="N617" s="804"/>
      <c r="O617" s="784">
        <f t="shared" si="55"/>
        <v>0</v>
      </c>
      <c r="P617" s="784">
        <f t="shared" si="56"/>
        <v>0</v>
      </c>
    </row>
    <row r="618" spans="3:16" ht="12.75">
      <c r="C618" s="1308">
        <f>IF(D608="","-",+C617+1)</f>
        <v>2019</v>
      </c>
      <c r="D618" s="728">
        <f t="shared" si="57"/>
        <v>142921246.58203125</v>
      </c>
      <c r="E618" s="781">
        <f t="shared" si="59"/>
        <v>2365593.046875</v>
      </c>
      <c r="F618" s="781">
        <f t="shared" si="53"/>
        <v>140555653.53515625</v>
      </c>
      <c r="G618" s="728">
        <f t="shared" si="58"/>
        <v>141738450.05859375</v>
      </c>
      <c r="H618" s="786">
        <f>+J609*G618+E618</f>
        <v>18151464.28399109</v>
      </c>
      <c r="I618" s="787">
        <f>+J610*G618+E618</f>
        <v>18151464.28399109</v>
      </c>
      <c r="J618" s="784">
        <f t="shared" si="60"/>
        <v>0</v>
      </c>
      <c r="K618" s="784"/>
      <c r="L618" s="804"/>
      <c r="M618" s="784">
        <f t="shared" si="54"/>
        <v>0</v>
      </c>
      <c r="N618" s="804"/>
      <c r="O618" s="784">
        <f t="shared" si="55"/>
        <v>0</v>
      </c>
      <c r="P618" s="784">
        <f t="shared" si="56"/>
        <v>0</v>
      </c>
    </row>
    <row r="619" spans="3:16" ht="12.75">
      <c r="C619" s="780">
        <f>IF(D608="","-",+C618+1)</f>
        <v>2020</v>
      </c>
      <c r="D619" s="728">
        <f t="shared" si="57"/>
        <v>140555653.53515625</v>
      </c>
      <c r="E619" s="781">
        <f t="shared" si="59"/>
        <v>2365593.046875</v>
      </c>
      <c r="F619" s="781">
        <f t="shared" si="53"/>
        <v>138190060.48828125</v>
      </c>
      <c r="G619" s="728">
        <f t="shared" si="58"/>
        <v>139372857.01171875</v>
      </c>
      <c r="H619" s="786">
        <f>+J609*G619+E619</f>
        <v>17888000.508128233</v>
      </c>
      <c r="I619" s="787">
        <f>+J610*G619+E619</f>
        <v>17888000.508128233</v>
      </c>
      <c r="J619" s="784">
        <f t="shared" si="60"/>
        <v>0</v>
      </c>
      <c r="K619" s="784"/>
      <c r="L619" s="804"/>
      <c r="M619" s="784">
        <f t="shared" si="54"/>
        <v>0</v>
      </c>
      <c r="N619" s="804"/>
      <c r="O619" s="784">
        <f t="shared" si="55"/>
        <v>0</v>
      </c>
      <c r="P619" s="784">
        <f t="shared" si="56"/>
        <v>0</v>
      </c>
    </row>
    <row r="620" spans="3:16" ht="12.75">
      <c r="C620" s="780">
        <f>IF(D608="","-",+C619+1)</f>
        <v>2021</v>
      </c>
      <c r="D620" s="728">
        <f t="shared" si="57"/>
        <v>138190060.48828125</v>
      </c>
      <c r="E620" s="781">
        <f t="shared" si="59"/>
        <v>2365593.046875</v>
      </c>
      <c r="F620" s="781">
        <f t="shared" si="53"/>
        <v>135824467.44140625</v>
      </c>
      <c r="G620" s="728">
        <f t="shared" si="58"/>
        <v>137007263.96484375</v>
      </c>
      <c r="H620" s="786">
        <f>+J609*G620+E620</f>
        <v>17624536.732265376</v>
      </c>
      <c r="I620" s="787">
        <f>+J610*G620+E620</f>
        <v>17624536.732265376</v>
      </c>
      <c r="J620" s="784">
        <f t="shared" si="60"/>
        <v>0</v>
      </c>
      <c r="K620" s="784"/>
      <c r="L620" s="804"/>
      <c r="M620" s="784">
        <f t="shared" si="54"/>
        <v>0</v>
      </c>
      <c r="N620" s="804"/>
      <c r="O620" s="784">
        <f t="shared" si="55"/>
        <v>0</v>
      </c>
      <c r="P620" s="784">
        <f t="shared" si="56"/>
        <v>0</v>
      </c>
    </row>
    <row r="621" spans="3:16" ht="12.75">
      <c r="C621" s="780">
        <f>IF(D608="","-",+C620+1)</f>
        <v>2022</v>
      </c>
      <c r="D621" s="728">
        <f t="shared" si="57"/>
        <v>135824467.44140625</v>
      </c>
      <c r="E621" s="781">
        <f t="shared" si="59"/>
        <v>2365593.046875</v>
      </c>
      <c r="F621" s="781">
        <f t="shared" si="53"/>
        <v>133458874.39453125</v>
      </c>
      <c r="G621" s="728">
        <f t="shared" si="58"/>
        <v>134641670.91796875</v>
      </c>
      <c r="H621" s="786">
        <f>+J609*G621+E621</f>
        <v>17361072.95640252</v>
      </c>
      <c r="I621" s="787">
        <f>+J610*G621+E621</f>
        <v>17361072.95640252</v>
      </c>
      <c r="J621" s="784">
        <f t="shared" si="60"/>
        <v>0</v>
      </c>
      <c r="K621" s="784"/>
      <c r="L621" s="804"/>
      <c r="M621" s="784">
        <f t="shared" si="54"/>
        <v>0</v>
      </c>
      <c r="N621" s="804"/>
      <c r="O621" s="784">
        <f t="shared" si="55"/>
        <v>0</v>
      </c>
      <c r="P621" s="784">
        <f t="shared" si="56"/>
        <v>0</v>
      </c>
    </row>
    <row r="622" spans="3:16" ht="12.75">
      <c r="C622" s="780">
        <f>IF(D608="","-",+C621+1)</f>
        <v>2023</v>
      </c>
      <c r="D622" s="728">
        <f t="shared" si="57"/>
        <v>133458874.39453125</v>
      </c>
      <c r="E622" s="781">
        <f t="shared" si="59"/>
        <v>2365593.046875</v>
      </c>
      <c r="F622" s="781">
        <f t="shared" si="53"/>
        <v>131093281.34765625</v>
      </c>
      <c r="G622" s="728">
        <f t="shared" si="58"/>
        <v>132276077.87109375</v>
      </c>
      <c r="H622" s="786">
        <f>+J609*G622+E622</f>
        <v>17097609.180539668</v>
      </c>
      <c r="I622" s="787">
        <f>+J610*G622+E622</f>
        <v>17097609.180539668</v>
      </c>
      <c r="J622" s="784">
        <f t="shared" si="60"/>
        <v>0</v>
      </c>
      <c r="K622" s="784"/>
      <c r="L622" s="804"/>
      <c r="M622" s="784">
        <f t="shared" si="54"/>
        <v>0</v>
      </c>
      <c r="N622" s="804"/>
      <c r="O622" s="784">
        <f t="shared" si="55"/>
        <v>0</v>
      </c>
      <c r="P622" s="784">
        <f t="shared" si="56"/>
        <v>0</v>
      </c>
    </row>
    <row r="623" spans="3:16" ht="12.75">
      <c r="C623" s="780">
        <f>IF(D608="","-",+C622+1)</f>
        <v>2024</v>
      </c>
      <c r="D623" s="728">
        <f t="shared" si="57"/>
        <v>131093281.34765625</v>
      </c>
      <c r="E623" s="781">
        <f t="shared" si="59"/>
        <v>2365593.046875</v>
      </c>
      <c r="F623" s="781">
        <f t="shared" si="53"/>
        <v>128727688.30078125</v>
      </c>
      <c r="G623" s="728">
        <f t="shared" si="58"/>
        <v>129910484.82421875</v>
      </c>
      <c r="H623" s="786">
        <f>+J609*G623+E623</f>
        <v>16834145.40467681</v>
      </c>
      <c r="I623" s="787">
        <f>+J610*G623+E623</f>
        <v>16834145.40467681</v>
      </c>
      <c r="J623" s="784">
        <f t="shared" si="60"/>
        <v>0</v>
      </c>
      <c r="K623" s="784"/>
      <c r="L623" s="804"/>
      <c r="M623" s="784">
        <f t="shared" si="54"/>
        <v>0</v>
      </c>
      <c r="N623" s="804"/>
      <c r="O623" s="784">
        <f t="shared" si="55"/>
        <v>0</v>
      </c>
      <c r="P623" s="784">
        <f t="shared" si="56"/>
        <v>0</v>
      </c>
    </row>
    <row r="624" spans="3:16" ht="12.75">
      <c r="C624" s="780">
        <f>IF(D608="","-",+C623+1)</f>
        <v>2025</v>
      </c>
      <c r="D624" s="728">
        <f t="shared" si="57"/>
        <v>128727688.30078125</v>
      </c>
      <c r="E624" s="781">
        <f t="shared" si="59"/>
        <v>2365593.046875</v>
      </c>
      <c r="F624" s="781">
        <f t="shared" si="53"/>
        <v>126362095.25390625</v>
      </c>
      <c r="G624" s="728">
        <f t="shared" si="58"/>
        <v>127544891.77734375</v>
      </c>
      <c r="H624" s="786">
        <f>+J609*G624+E624</f>
        <v>16570681.628813956</v>
      </c>
      <c r="I624" s="787">
        <f>+J610*G624+E624</f>
        <v>16570681.628813956</v>
      </c>
      <c r="J624" s="784">
        <f t="shared" si="60"/>
        <v>0</v>
      </c>
      <c r="K624" s="784"/>
      <c r="L624" s="804"/>
      <c r="M624" s="784">
        <f t="shared" si="54"/>
        <v>0</v>
      </c>
      <c r="N624" s="804"/>
      <c r="O624" s="784">
        <f t="shared" si="55"/>
        <v>0</v>
      </c>
      <c r="P624" s="784">
        <f t="shared" si="56"/>
        <v>0</v>
      </c>
    </row>
    <row r="625" spans="3:16" ht="12.75">
      <c r="C625" s="780">
        <f>IF(D608="","-",+C624+1)</f>
        <v>2026</v>
      </c>
      <c r="D625" s="728">
        <f t="shared" si="57"/>
        <v>126362095.25390625</v>
      </c>
      <c r="E625" s="781">
        <f t="shared" si="59"/>
        <v>2365593.046875</v>
      </c>
      <c r="F625" s="781">
        <f t="shared" si="53"/>
        <v>123996502.20703125</v>
      </c>
      <c r="G625" s="728">
        <f t="shared" si="58"/>
        <v>125179298.73046875</v>
      </c>
      <c r="H625" s="786">
        <f>+J609*G625+E625</f>
        <v>16307217.8529511</v>
      </c>
      <c r="I625" s="787">
        <f>+J610*G625+E625</f>
        <v>16307217.8529511</v>
      </c>
      <c r="J625" s="784">
        <f t="shared" si="60"/>
        <v>0</v>
      </c>
      <c r="K625" s="784"/>
      <c r="L625" s="804"/>
      <c r="M625" s="784">
        <f t="shared" si="54"/>
        <v>0</v>
      </c>
      <c r="N625" s="804"/>
      <c r="O625" s="784">
        <f t="shared" si="55"/>
        <v>0</v>
      </c>
      <c r="P625" s="784">
        <f t="shared" si="56"/>
        <v>0</v>
      </c>
    </row>
    <row r="626" spans="3:16" ht="12.75">
      <c r="C626" s="780">
        <f>IF(D608="","-",+C625+1)</f>
        <v>2027</v>
      </c>
      <c r="D626" s="728">
        <f t="shared" si="57"/>
        <v>123996502.20703125</v>
      </c>
      <c r="E626" s="781">
        <f t="shared" si="59"/>
        <v>2365593.046875</v>
      </c>
      <c r="F626" s="781">
        <f t="shared" si="53"/>
        <v>121630909.16015625</v>
      </c>
      <c r="G626" s="728">
        <f t="shared" si="58"/>
        <v>122813705.68359375</v>
      </c>
      <c r="H626" s="786">
        <f>+J609*G626+E626</f>
        <v>16043754.077088246</v>
      </c>
      <c r="I626" s="787">
        <f>+J610*G626+E626</f>
        <v>16043754.077088246</v>
      </c>
      <c r="J626" s="784">
        <f t="shared" si="60"/>
        <v>0</v>
      </c>
      <c r="K626" s="784"/>
      <c r="L626" s="804"/>
      <c r="M626" s="784">
        <f t="shared" si="54"/>
        <v>0</v>
      </c>
      <c r="N626" s="804"/>
      <c r="O626" s="784">
        <f t="shared" si="55"/>
        <v>0</v>
      </c>
      <c r="P626" s="784">
        <f t="shared" si="56"/>
        <v>0</v>
      </c>
    </row>
    <row r="627" spans="3:16" ht="12.75">
      <c r="C627" s="780">
        <f>IF(D608="","-",+C626+1)</f>
        <v>2028</v>
      </c>
      <c r="D627" s="728">
        <f t="shared" si="57"/>
        <v>121630909.16015625</v>
      </c>
      <c r="E627" s="781">
        <f t="shared" si="59"/>
        <v>2365593.046875</v>
      </c>
      <c r="F627" s="781">
        <f t="shared" si="53"/>
        <v>119265316.11328125</v>
      </c>
      <c r="G627" s="728">
        <f t="shared" si="58"/>
        <v>120448112.63671875</v>
      </c>
      <c r="H627" s="786">
        <f>+J609*G627+E627</f>
        <v>15780290.30122539</v>
      </c>
      <c r="I627" s="787">
        <f>+J610*G627+E627</f>
        <v>15780290.30122539</v>
      </c>
      <c r="J627" s="784">
        <f t="shared" si="60"/>
        <v>0</v>
      </c>
      <c r="K627" s="784"/>
      <c r="L627" s="804"/>
      <c r="M627" s="784">
        <f t="shared" si="54"/>
        <v>0</v>
      </c>
      <c r="N627" s="804"/>
      <c r="O627" s="784">
        <f t="shared" si="55"/>
        <v>0</v>
      </c>
      <c r="P627" s="784">
        <f t="shared" si="56"/>
        <v>0</v>
      </c>
    </row>
    <row r="628" spans="3:16" ht="12.75">
      <c r="C628" s="780">
        <f>IF(D608="","-",+C627+1)</f>
        <v>2029</v>
      </c>
      <c r="D628" s="728">
        <f t="shared" si="57"/>
        <v>119265316.11328125</v>
      </c>
      <c r="E628" s="781">
        <f t="shared" si="59"/>
        <v>2365593.046875</v>
      </c>
      <c r="F628" s="781">
        <f t="shared" si="53"/>
        <v>116899723.06640625</v>
      </c>
      <c r="G628" s="728">
        <f t="shared" si="58"/>
        <v>118082519.58984375</v>
      </c>
      <c r="H628" s="786">
        <f>+J609*G628+E628</f>
        <v>15516826.525362534</v>
      </c>
      <c r="I628" s="787">
        <f>+J610*G628+E628</f>
        <v>15516826.525362534</v>
      </c>
      <c r="J628" s="784">
        <f t="shared" si="60"/>
        <v>0</v>
      </c>
      <c r="K628" s="784"/>
      <c r="L628" s="804"/>
      <c r="M628" s="784">
        <f t="shared" si="54"/>
        <v>0</v>
      </c>
      <c r="N628" s="804"/>
      <c r="O628" s="784">
        <f t="shared" si="55"/>
        <v>0</v>
      </c>
      <c r="P628" s="784">
        <f t="shared" si="56"/>
        <v>0</v>
      </c>
    </row>
    <row r="629" spans="3:16" ht="12.75">
      <c r="C629" s="780">
        <f>IF(D608="","-",+C628+1)</f>
        <v>2030</v>
      </c>
      <c r="D629" s="728">
        <f t="shared" si="57"/>
        <v>116899723.06640625</v>
      </c>
      <c r="E629" s="781">
        <f t="shared" si="59"/>
        <v>2365593.046875</v>
      </c>
      <c r="F629" s="781">
        <f t="shared" si="53"/>
        <v>114534130.01953125</v>
      </c>
      <c r="G629" s="728">
        <f t="shared" si="58"/>
        <v>115716926.54296875</v>
      </c>
      <c r="H629" s="786">
        <f>+J609*G629+E629</f>
        <v>15253362.749499679</v>
      </c>
      <c r="I629" s="787">
        <f>+J610*G629+E629</f>
        <v>15253362.749499679</v>
      </c>
      <c r="J629" s="784">
        <f t="shared" si="60"/>
        <v>0</v>
      </c>
      <c r="K629" s="784"/>
      <c r="L629" s="804"/>
      <c r="M629" s="784">
        <f t="shared" si="54"/>
        <v>0</v>
      </c>
      <c r="N629" s="804"/>
      <c r="O629" s="784">
        <f t="shared" si="55"/>
        <v>0</v>
      </c>
      <c r="P629" s="784">
        <f t="shared" si="56"/>
        <v>0</v>
      </c>
    </row>
    <row r="630" spans="3:16" ht="12.75">
      <c r="C630" s="780">
        <f>IF(D608="","-",+C629+1)</f>
        <v>2031</v>
      </c>
      <c r="D630" s="728">
        <f t="shared" si="57"/>
        <v>114534130.01953125</v>
      </c>
      <c r="E630" s="781">
        <f t="shared" si="59"/>
        <v>2365593.046875</v>
      </c>
      <c r="F630" s="781">
        <f t="shared" si="53"/>
        <v>112168536.97265625</v>
      </c>
      <c r="G630" s="728">
        <f t="shared" si="58"/>
        <v>113351333.49609375</v>
      </c>
      <c r="H630" s="786">
        <f>+J609*G630+E630</f>
        <v>14989898.973636823</v>
      </c>
      <c r="I630" s="787">
        <f>+J610*G630+E630</f>
        <v>14989898.973636823</v>
      </c>
      <c r="J630" s="784">
        <f t="shared" si="60"/>
        <v>0</v>
      </c>
      <c r="K630" s="784"/>
      <c r="L630" s="804"/>
      <c r="M630" s="784">
        <f t="shared" si="54"/>
        <v>0</v>
      </c>
      <c r="N630" s="804"/>
      <c r="O630" s="784">
        <f t="shared" si="55"/>
        <v>0</v>
      </c>
      <c r="P630" s="784">
        <f t="shared" si="56"/>
        <v>0</v>
      </c>
    </row>
    <row r="631" spans="3:16" ht="12.75">
      <c r="C631" s="780">
        <f>IF(D608="","-",+C630+1)</f>
        <v>2032</v>
      </c>
      <c r="D631" s="728">
        <f t="shared" si="57"/>
        <v>112168536.97265625</v>
      </c>
      <c r="E631" s="781">
        <f t="shared" si="59"/>
        <v>2365593.046875</v>
      </c>
      <c r="F631" s="781">
        <f t="shared" si="53"/>
        <v>109802943.92578125</v>
      </c>
      <c r="G631" s="728">
        <f t="shared" si="58"/>
        <v>110985740.44921875</v>
      </c>
      <c r="H631" s="786">
        <f>+J609*G631+E631</f>
        <v>14726435.197773969</v>
      </c>
      <c r="I631" s="787">
        <f>+J610*G631+E631</f>
        <v>14726435.197773969</v>
      </c>
      <c r="J631" s="784">
        <f t="shared" si="60"/>
        <v>0</v>
      </c>
      <c r="K631" s="784"/>
      <c r="L631" s="804"/>
      <c r="M631" s="784">
        <f t="shared" si="54"/>
        <v>0</v>
      </c>
      <c r="N631" s="804"/>
      <c r="O631" s="784">
        <f t="shared" si="55"/>
        <v>0</v>
      </c>
      <c r="P631" s="784">
        <f t="shared" si="56"/>
        <v>0</v>
      </c>
    </row>
    <row r="632" spans="3:16" ht="12.75">
      <c r="C632" s="780">
        <f>IF(D608="","-",+C631+1)</f>
        <v>2033</v>
      </c>
      <c r="D632" s="728">
        <f t="shared" si="57"/>
        <v>109802943.92578125</v>
      </c>
      <c r="E632" s="781">
        <f t="shared" si="59"/>
        <v>2365593.046875</v>
      </c>
      <c r="F632" s="781">
        <f t="shared" si="53"/>
        <v>107437350.87890625</v>
      </c>
      <c r="G632" s="728">
        <f t="shared" si="58"/>
        <v>108620147.40234375</v>
      </c>
      <c r="H632" s="786">
        <f>+J609*G632+E632</f>
        <v>14462971.421911113</v>
      </c>
      <c r="I632" s="787">
        <f>+J610*G632+E632</f>
        <v>14462971.421911113</v>
      </c>
      <c r="J632" s="784">
        <f t="shared" si="60"/>
        <v>0</v>
      </c>
      <c r="K632" s="784"/>
      <c r="L632" s="804"/>
      <c r="M632" s="784">
        <f t="shared" si="54"/>
        <v>0</v>
      </c>
      <c r="N632" s="804"/>
      <c r="O632" s="784">
        <f t="shared" si="55"/>
        <v>0</v>
      </c>
      <c r="P632" s="784">
        <f t="shared" si="56"/>
        <v>0</v>
      </c>
    </row>
    <row r="633" spans="3:16" ht="12.75">
      <c r="C633" s="780">
        <f>IF(D608="","-",+C632+1)</f>
        <v>2034</v>
      </c>
      <c r="D633" s="728">
        <f t="shared" si="57"/>
        <v>107437350.87890625</v>
      </c>
      <c r="E633" s="781">
        <f t="shared" si="59"/>
        <v>2365593.046875</v>
      </c>
      <c r="F633" s="781">
        <f t="shared" si="53"/>
        <v>105071757.83203125</v>
      </c>
      <c r="G633" s="728">
        <f t="shared" si="58"/>
        <v>106254554.35546875</v>
      </c>
      <c r="H633" s="786">
        <f>+J609*G633+E633</f>
        <v>14199507.646048257</v>
      </c>
      <c r="I633" s="787">
        <f>+J610*G633+E633</f>
        <v>14199507.646048257</v>
      </c>
      <c r="J633" s="784">
        <f t="shared" si="60"/>
        <v>0</v>
      </c>
      <c r="K633" s="784"/>
      <c r="L633" s="804"/>
      <c r="M633" s="784">
        <f t="shared" si="54"/>
        <v>0</v>
      </c>
      <c r="N633" s="804"/>
      <c r="O633" s="784">
        <f t="shared" si="55"/>
        <v>0</v>
      </c>
      <c r="P633" s="784">
        <f t="shared" si="56"/>
        <v>0</v>
      </c>
    </row>
    <row r="634" spans="3:16" ht="12.75">
      <c r="C634" s="780">
        <f>IF(D608="","-",+C633+1)</f>
        <v>2035</v>
      </c>
      <c r="D634" s="728">
        <f t="shared" si="57"/>
        <v>105071757.83203125</v>
      </c>
      <c r="E634" s="781">
        <f t="shared" si="59"/>
        <v>2365593.046875</v>
      </c>
      <c r="F634" s="781">
        <f t="shared" si="53"/>
        <v>102706164.78515625</v>
      </c>
      <c r="G634" s="728">
        <f t="shared" si="58"/>
        <v>103888961.30859375</v>
      </c>
      <c r="H634" s="786">
        <f>+J609*G634+E634</f>
        <v>13936043.870185401</v>
      </c>
      <c r="I634" s="787">
        <f>+J610*G634+E634</f>
        <v>13936043.870185401</v>
      </c>
      <c r="J634" s="784">
        <f t="shared" si="60"/>
        <v>0</v>
      </c>
      <c r="K634" s="784"/>
      <c r="L634" s="804"/>
      <c r="M634" s="784">
        <f t="shared" si="54"/>
        <v>0</v>
      </c>
      <c r="N634" s="804"/>
      <c r="O634" s="784">
        <f t="shared" si="55"/>
        <v>0</v>
      </c>
      <c r="P634" s="784">
        <f t="shared" si="56"/>
        <v>0</v>
      </c>
    </row>
    <row r="635" spans="3:16" ht="12.75">
      <c r="C635" s="780">
        <f>IF(D608="","-",+C634+1)</f>
        <v>2036</v>
      </c>
      <c r="D635" s="728">
        <f t="shared" si="57"/>
        <v>102706164.78515625</v>
      </c>
      <c r="E635" s="781">
        <f t="shared" si="59"/>
        <v>2365593.046875</v>
      </c>
      <c r="F635" s="781">
        <f t="shared" si="53"/>
        <v>100340571.73828125</v>
      </c>
      <c r="G635" s="728">
        <f t="shared" si="58"/>
        <v>101523368.26171875</v>
      </c>
      <c r="H635" s="786">
        <f>+J609*G635+E635</f>
        <v>13672580.094322545</v>
      </c>
      <c r="I635" s="787">
        <f>+J610*G635+E635</f>
        <v>13672580.094322545</v>
      </c>
      <c r="J635" s="784">
        <f t="shared" si="60"/>
        <v>0</v>
      </c>
      <c r="K635" s="784"/>
      <c r="L635" s="804"/>
      <c r="M635" s="784">
        <f t="shared" si="54"/>
        <v>0</v>
      </c>
      <c r="N635" s="804"/>
      <c r="O635" s="784">
        <f t="shared" si="55"/>
        <v>0</v>
      </c>
      <c r="P635" s="784">
        <f t="shared" si="56"/>
        <v>0</v>
      </c>
    </row>
    <row r="636" spans="3:16" ht="12.75">
      <c r="C636" s="780">
        <f>IF(D608="","-",+C635+1)</f>
        <v>2037</v>
      </c>
      <c r="D636" s="728">
        <f t="shared" si="57"/>
        <v>100340571.73828125</v>
      </c>
      <c r="E636" s="781">
        <f t="shared" si="59"/>
        <v>2365593.046875</v>
      </c>
      <c r="F636" s="781">
        <f t="shared" si="53"/>
        <v>97974978.69140625</v>
      </c>
      <c r="G636" s="728">
        <f t="shared" si="58"/>
        <v>99157775.21484375</v>
      </c>
      <c r="H636" s="786">
        <f>+J609*G636+E636</f>
        <v>13409116.318459691</v>
      </c>
      <c r="I636" s="787">
        <f>+J610*G636+E636</f>
        <v>13409116.318459691</v>
      </c>
      <c r="J636" s="784">
        <f t="shared" si="60"/>
        <v>0</v>
      </c>
      <c r="K636" s="784"/>
      <c r="L636" s="804"/>
      <c r="M636" s="784">
        <f t="shared" si="54"/>
        <v>0</v>
      </c>
      <c r="N636" s="804"/>
      <c r="O636" s="784">
        <f t="shared" si="55"/>
        <v>0</v>
      </c>
      <c r="P636" s="784">
        <f t="shared" si="56"/>
        <v>0</v>
      </c>
    </row>
    <row r="637" spans="3:16" ht="12.75">
      <c r="C637" s="780">
        <f>IF(D608="","-",+C636+1)</f>
        <v>2038</v>
      </c>
      <c r="D637" s="728">
        <f t="shared" si="57"/>
        <v>97974978.69140625</v>
      </c>
      <c r="E637" s="781">
        <f t="shared" si="59"/>
        <v>2365593.046875</v>
      </c>
      <c r="F637" s="781">
        <f t="shared" si="53"/>
        <v>95609385.64453125</v>
      </c>
      <c r="G637" s="728">
        <f t="shared" si="58"/>
        <v>96792182.16796875</v>
      </c>
      <c r="H637" s="786">
        <f>+J609*G637+E637</f>
        <v>13145652.542596836</v>
      </c>
      <c r="I637" s="787">
        <f>+J610*G637+E637</f>
        <v>13145652.542596836</v>
      </c>
      <c r="J637" s="784">
        <f t="shared" si="60"/>
        <v>0</v>
      </c>
      <c r="K637" s="784"/>
      <c r="L637" s="804"/>
      <c r="M637" s="784">
        <f t="shared" si="54"/>
        <v>0</v>
      </c>
      <c r="N637" s="804"/>
      <c r="O637" s="784">
        <f t="shared" si="55"/>
        <v>0</v>
      </c>
      <c r="P637" s="784">
        <f t="shared" si="56"/>
        <v>0</v>
      </c>
    </row>
    <row r="638" spans="3:16" ht="12.75">
      <c r="C638" s="780">
        <f>IF(D608="","-",+C637+1)</f>
        <v>2039</v>
      </c>
      <c r="D638" s="728">
        <f t="shared" si="57"/>
        <v>95609385.64453125</v>
      </c>
      <c r="E638" s="781">
        <f t="shared" si="59"/>
        <v>2365593.046875</v>
      </c>
      <c r="F638" s="781">
        <f t="shared" si="53"/>
        <v>93243792.59765625</v>
      </c>
      <c r="G638" s="728">
        <f t="shared" si="58"/>
        <v>94426589.12109375</v>
      </c>
      <c r="H638" s="786">
        <f>+J609*G638+E638</f>
        <v>12882188.76673398</v>
      </c>
      <c r="I638" s="787">
        <f>+J610*G638+E638</f>
        <v>12882188.76673398</v>
      </c>
      <c r="J638" s="784">
        <f t="shared" si="60"/>
        <v>0</v>
      </c>
      <c r="K638" s="784"/>
      <c r="L638" s="804"/>
      <c r="M638" s="784">
        <f t="shared" si="54"/>
        <v>0</v>
      </c>
      <c r="N638" s="804"/>
      <c r="O638" s="784">
        <f t="shared" si="55"/>
        <v>0</v>
      </c>
      <c r="P638" s="784">
        <f t="shared" si="56"/>
        <v>0</v>
      </c>
    </row>
    <row r="639" spans="3:16" ht="12.75">
      <c r="C639" s="780">
        <f>IF(D608="","-",+C638+1)</f>
        <v>2040</v>
      </c>
      <c r="D639" s="728">
        <f t="shared" si="57"/>
        <v>93243792.59765625</v>
      </c>
      <c r="E639" s="781">
        <f t="shared" si="59"/>
        <v>2365593.046875</v>
      </c>
      <c r="F639" s="781">
        <f t="shared" si="53"/>
        <v>90878199.55078125</v>
      </c>
      <c r="G639" s="728">
        <f t="shared" si="58"/>
        <v>92060996.07421875</v>
      </c>
      <c r="H639" s="786">
        <f>+J609*G639+E639</f>
        <v>12618724.990871124</v>
      </c>
      <c r="I639" s="787">
        <f>+J610*G639+E639</f>
        <v>12618724.990871124</v>
      </c>
      <c r="J639" s="784">
        <f t="shared" si="60"/>
        <v>0</v>
      </c>
      <c r="K639" s="784"/>
      <c r="L639" s="804"/>
      <c r="M639" s="784">
        <f t="shared" si="54"/>
        <v>0</v>
      </c>
      <c r="N639" s="804"/>
      <c r="O639" s="784">
        <f t="shared" si="55"/>
        <v>0</v>
      </c>
      <c r="P639" s="784">
        <f t="shared" si="56"/>
        <v>0</v>
      </c>
    </row>
    <row r="640" spans="3:16" ht="12.75">
      <c r="C640" s="780">
        <f>IF(D608="","-",+C639+1)</f>
        <v>2041</v>
      </c>
      <c r="D640" s="728">
        <f t="shared" si="57"/>
        <v>90878199.55078125</v>
      </c>
      <c r="E640" s="781">
        <f t="shared" si="59"/>
        <v>2365593.046875</v>
      </c>
      <c r="F640" s="781">
        <f t="shared" si="53"/>
        <v>88512606.50390625</v>
      </c>
      <c r="G640" s="728">
        <f t="shared" si="58"/>
        <v>89695403.02734375</v>
      </c>
      <c r="H640" s="786">
        <f>+J609*G640+E640</f>
        <v>12355261.215008268</v>
      </c>
      <c r="I640" s="787">
        <f>+J610*G640+E640</f>
        <v>12355261.215008268</v>
      </c>
      <c r="J640" s="784">
        <f t="shared" si="60"/>
        <v>0</v>
      </c>
      <c r="K640" s="784"/>
      <c r="L640" s="804"/>
      <c r="M640" s="784">
        <f t="shared" si="54"/>
        <v>0</v>
      </c>
      <c r="N640" s="804"/>
      <c r="O640" s="784">
        <f t="shared" si="55"/>
        <v>0</v>
      </c>
      <c r="P640" s="784">
        <f t="shared" si="56"/>
        <v>0</v>
      </c>
    </row>
    <row r="641" spans="3:16" ht="12.75">
      <c r="C641" s="780">
        <f>IF(D608="","-",+C640+1)</f>
        <v>2042</v>
      </c>
      <c r="D641" s="728">
        <f t="shared" si="57"/>
        <v>88512606.50390625</v>
      </c>
      <c r="E641" s="781">
        <f t="shared" si="59"/>
        <v>2365593.046875</v>
      </c>
      <c r="F641" s="781">
        <f t="shared" si="53"/>
        <v>86147013.45703125</v>
      </c>
      <c r="G641" s="728">
        <f t="shared" si="58"/>
        <v>87329809.98046875</v>
      </c>
      <c r="H641" s="786">
        <f>+J609*G641+E641</f>
        <v>12091797.439145414</v>
      </c>
      <c r="I641" s="787">
        <f>+J610*G641+E641</f>
        <v>12091797.439145414</v>
      </c>
      <c r="J641" s="784">
        <f t="shared" si="60"/>
        <v>0</v>
      </c>
      <c r="K641" s="784"/>
      <c r="L641" s="804"/>
      <c r="M641" s="784">
        <f t="shared" si="54"/>
        <v>0</v>
      </c>
      <c r="N641" s="804"/>
      <c r="O641" s="784">
        <f t="shared" si="55"/>
        <v>0</v>
      </c>
      <c r="P641" s="784">
        <f t="shared" si="56"/>
        <v>0</v>
      </c>
    </row>
    <row r="642" spans="3:16" ht="12.75">
      <c r="C642" s="780">
        <f>IF(D608="","-",+C641+1)</f>
        <v>2043</v>
      </c>
      <c r="D642" s="728">
        <f t="shared" si="57"/>
        <v>86147013.45703125</v>
      </c>
      <c r="E642" s="781">
        <f t="shared" si="59"/>
        <v>2365593.046875</v>
      </c>
      <c r="F642" s="781">
        <f t="shared" si="53"/>
        <v>83781420.41015625</v>
      </c>
      <c r="G642" s="728">
        <f t="shared" si="58"/>
        <v>84964216.93359375</v>
      </c>
      <c r="H642" s="786">
        <f>+J609*G642+E642</f>
        <v>11828333.663282558</v>
      </c>
      <c r="I642" s="787">
        <f>+J610*G642+E642</f>
        <v>11828333.663282558</v>
      </c>
      <c r="J642" s="784">
        <f t="shared" si="60"/>
        <v>0</v>
      </c>
      <c r="K642" s="784"/>
      <c r="L642" s="804"/>
      <c r="M642" s="784">
        <f t="shared" si="54"/>
        <v>0</v>
      </c>
      <c r="N642" s="804"/>
      <c r="O642" s="784">
        <f t="shared" si="55"/>
        <v>0</v>
      </c>
      <c r="P642" s="784">
        <f t="shared" si="56"/>
        <v>0</v>
      </c>
    </row>
    <row r="643" spans="3:16" ht="12.75">
      <c r="C643" s="780">
        <f>IF(D608="","-",+C642+1)</f>
        <v>2044</v>
      </c>
      <c r="D643" s="728">
        <f t="shared" si="57"/>
        <v>83781420.41015625</v>
      </c>
      <c r="E643" s="781">
        <f t="shared" si="59"/>
        <v>2365593.046875</v>
      </c>
      <c r="F643" s="781">
        <f t="shared" si="53"/>
        <v>81415827.36328125</v>
      </c>
      <c r="G643" s="728">
        <f t="shared" si="58"/>
        <v>82598623.88671875</v>
      </c>
      <c r="H643" s="786">
        <f>+J609*G643+E643</f>
        <v>11564869.887419702</v>
      </c>
      <c r="I643" s="787">
        <f>+J610*G643+E643</f>
        <v>11564869.887419702</v>
      </c>
      <c r="J643" s="784">
        <f t="shared" si="60"/>
        <v>0</v>
      </c>
      <c r="K643" s="784"/>
      <c r="L643" s="804"/>
      <c r="M643" s="784">
        <f t="shared" si="54"/>
        <v>0</v>
      </c>
      <c r="N643" s="804"/>
      <c r="O643" s="784">
        <f t="shared" si="55"/>
        <v>0</v>
      </c>
      <c r="P643" s="784">
        <f t="shared" si="56"/>
        <v>0</v>
      </c>
    </row>
    <row r="644" spans="3:16" ht="12.75">
      <c r="C644" s="780">
        <f>IF(D608="","-",+C643+1)</f>
        <v>2045</v>
      </c>
      <c r="D644" s="728">
        <f t="shared" si="57"/>
        <v>81415827.36328125</v>
      </c>
      <c r="E644" s="781">
        <f t="shared" si="59"/>
        <v>2365593.046875</v>
      </c>
      <c r="F644" s="781">
        <f t="shared" si="53"/>
        <v>79050234.31640625</v>
      </c>
      <c r="G644" s="728">
        <f t="shared" si="58"/>
        <v>80233030.83984375</v>
      </c>
      <c r="H644" s="786">
        <f>+J609*G644+E644</f>
        <v>11301406.111556847</v>
      </c>
      <c r="I644" s="787">
        <f>+J610*G644+E644</f>
        <v>11301406.111556847</v>
      </c>
      <c r="J644" s="784">
        <f t="shared" si="60"/>
        <v>0</v>
      </c>
      <c r="K644" s="784"/>
      <c r="L644" s="804"/>
      <c r="M644" s="784">
        <f t="shared" si="54"/>
        <v>0</v>
      </c>
      <c r="N644" s="804"/>
      <c r="O644" s="784">
        <f t="shared" si="55"/>
        <v>0</v>
      </c>
      <c r="P644" s="784">
        <f t="shared" si="56"/>
        <v>0</v>
      </c>
    </row>
    <row r="645" spans="3:16" ht="12.75">
      <c r="C645" s="780">
        <f>IF(D608="","-",+C644+1)</f>
        <v>2046</v>
      </c>
      <c r="D645" s="728">
        <f t="shared" si="57"/>
        <v>79050234.31640625</v>
      </c>
      <c r="E645" s="781">
        <f t="shared" si="59"/>
        <v>2365593.046875</v>
      </c>
      <c r="F645" s="781">
        <f t="shared" si="53"/>
        <v>76684641.26953125</v>
      </c>
      <c r="G645" s="728">
        <f t="shared" si="58"/>
        <v>77867437.79296875</v>
      </c>
      <c r="H645" s="786">
        <f>+J609*G645+E645</f>
        <v>11037942.335693993</v>
      </c>
      <c r="I645" s="787">
        <f>+J610*G645+E645</f>
        <v>11037942.335693993</v>
      </c>
      <c r="J645" s="784">
        <f t="shared" si="60"/>
        <v>0</v>
      </c>
      <c r="K645" s="784"/>
      <c r="L645" s="804"/>
      <c r="M645" s="784">
        <f t="shared" si="54"/>
        <v>0</v>
      </c>
      <c r="N645" s="804"/>
      <c r="O645" s="784">
        <f t="shared" si="55"/>
        <v>0</v>
      </c>
      <c r="P645" s="784">
        <f t="shared" si="56"/>
        <v>0</v>
      </c>
    </row>
    <row r="646" spans="3:16" ht="12.75">
      <c r="C646" s="780">
        <f>IF(D608="","-",+C645+1)</f>
        <v>2047</v>
      </c>
      <c r="D646" s="728">
        <f t="shared" si="57"/>
        <v>76684641.26953125</v>
      </c>
      <c r="E646" s="781">
        <f t="shared" si="59"/>
        <v>2365593.046875</v>
      </c>
      <c r="F646" s="781">
        <f t="shared" si="53"/>
        <v>74319048.22265625</v>
      </c>
      <c r="G646" s="728">
        <f t="shared" si="58"/>
        <v>75501844.74609375</v>
      </c>
      <c r="H646" s="786">
        <f>+J609*G646+E646</f>
        <v>10774478.559831137</v>
      </c>
      <c r="I646" s="787">
        <f>+J610*G646+E646</f>
        <v>10774478.559831137</v>
      </c>
      <c r="J646" s="784">
        <f t="shared" si="60"/>
        <v>0</v>
      </c>
      <c r="K646" s="784"/>
      <c r="L646" s="804"/>
      <c r="M646" s="784">
        <f t="shared" si="54"/>
        <v>0</v>
      </c>
      <c r="N646" s="804"/>
      <c r="O646" s="784">
        <f t="shared" si="55"/>
        <v>0</v>
      </c>
      <c r="P646" s="784">
        <f t="shared" si="56"/>
        <v>0</v>
      </c>
    </row>
    <row r="647" spans="3:16" ht="12.75">
      <c r="C647" s="780">
        <f>IF(D608="","-",+C646+1)</f>
        <v>2048</v>
      </c>
      <c r="D647" s="728">
        <f t="shared" si="57"/>
        <v>74319048.22265625</v>
      </c>
      <c r="E647" s="781">
        <f t="shared" si="59"/>
        <v>2365593.046875</v>
      </c>
      <c r="F647" s="781">
        <f t="shared" si="53"/>
        <v>71953455.17578125</v>
      </c>
      <c r="G647" s="728">
        <f t="shared" si="58"/>
        <v>73136251.69921875</v>
      </c>
      <c r="H647" s="786">
        <f>+J609*G647+E647</f>
        <v>10511014.783968281</v>
      </c>
      <c r="I647" s="787">
        <f>+J610*G647+E647</f>
        <v>10511014.783968281</v>
      </c>
      <c r="J647" s="784">
        <f t="shared" si="60"/>
        <v>0</v>
      </c>
      <c r="K647" s="784"/>
      <c r="L647" s="804"/>
      <c r="M647" s="784">
        <f t="shared" si="54"/>
        <v>0</v>
      </c>
      <c r="N647" s="804"/>
      <c r="O647" s="784">
        <f t="shared" si="55"/>
        <v>0</v>
      </c>
      <c r="P647" s="784">
        <f t="shared" si="56"/>
        <v>0</v>
      </c>
    </row>
    <row r="648" spans="3:16" ht="12.75">
      <c r="C648" s="780">
        <f>IF(D608="","-",+C647+1)</f>
        <v>2049</v>
      </c>
      <c r="D648" s="728">
        <f t="shared" si="57"/>
        <v>71953455.17578125</v>
      </c>
      <c r="E648" s="781">
        <f t="shared" si="59"/>
        <v>2365593.046875</v>
      </c>
      <c r="F648" s="781">
        <f t="shared" si="53"/>
        <v>69587862.12890625</v>
      </c>
      <c r="G648" s="728">
        <f t="shared" si="58"/>
        <v>70770658.65234375</v>
      </c>
      <c r="H648" s="786">
        <f>+J609*G648+E648</f>
        <v>10247551.008105425</v>
      </c>
      <c r="I648" s="787">
        <f>+J610*G648+E648</f>
        <v>10247551.008105425</v>
      </c>
      <c r="J648" s="784">
        <f t="shared" si="60"/>
        <v>0</v>
      </c>
      <c r="K648" s="784"/>
      <c r="L648" s="804"/>
      <c r="M648" s="784">
        <f t="shared" si="54"/>
        <v>0</v>
      </c>
      <c r="N648" s="804"/>
      <c r="O648" s="784">
        <f t="shared" si="55"/>
        <v>0</v>
      </c>
      <c r="P648" s="784">
        <f t="shared" si="56"/>
        <v>0</v>
      </c>
    </row>
    <row r="649" spans="3:16" ht="12.75">
      <c r="C649" s="780">
        <f>IF(D608="","-",+C648+1)</f>
        <v>2050</v>
      </c>
      <c r="D649" s="728">
        <f t="shared" si="57"/>
        <v>69587862.12890625</v>
      </c>
      <c r="E649" s="781">
        <f t="shared" si="59"/>
        <v>2365593.046875</v>
      </c>
      <c r="F649" s="781">
        <f t="shared" si="53"/>
        <v>67222269.08203125</v>
      </c>
      <c r="G649" s="728">
        <f t="shared" si="58"/>
        <v>68405065.60546875</v>
      </c>
      <c r="H649" s="786">
        <f>+J609*G649+E649</f>
        <v>9984087.23224257</v>
      </c>
      <c r="I649" s="787">
        <f>+J610*G649+E649</f>
        <v>9984087.23224257</v>
      </c>
      <c r="J649" s="784">
        <f t="shared" si="60"/>
        <v>0</v>
      </c>
      <c r="K649" s="784"/>
      <c r="L649" s="804"/>
      <c r="M649" s="784">
        <f t="shared" si="54"/>
        <v>0</v>
      </c>
      <c r="N649" s="804"/>
      <c r="O649" s="784">
        <f t="shared" si="55"/>
        <v>0</v>
      </c>
      <c r="P649" s="784">
        <f t="shared" si="56"/>
        <v>0</v>
      </c>
    </row>
    <row r="650" spans="3:16" ht="12.75">
      <c r="C650" s="780">
        <f>IF(D608="","-",+C649+1)</f>
        <v>2051</v>
      </c>
      <c r="D650" s="728">
        <f t="shared" si="57"/>
        <v>67222269.08203125</v>
      </c>
      <c r="E650" s="781">
        <f t="shared" si="59"/>
        <v>2365593.046875</v>
      </c>
      <c r="F650" s="781">
        <f t="shared" si="53"/>
        <v>64856676.03515625</v>
      </c>
      <c r="G650" s="728">
        <f t="shared" si="58"/>
        <v>66039472.55859375</v>
      </c>
      <c r="H650" s="786">
        <f>+J609*G650+E650</f>
        <v>9720623.456379715</v>
      </c>
      <c r="I650" s="787">
        <f>+J610*G650+E650</f>
        <v>9720623.456379715</v>
      </c>
      <c r="J650" s="784">
        <f t="shared" si="60"/>
        <v>0</v>
      </c>
      <c r="K650" s="784"/>
      <c r="L650" s="804"/>
      <c r="M650" s="784">
        <f t="shared" si="54"/>
        <v>0</v>
      </c>
      <c r="N650" s="804"/>
      <c r="O650" s="784">
        <f t="shared" si="55"/>
        <v>0</v>
      </c>
      <c r="P650" s="784">
        <f t="shared" si="56"/>
        <v>0</v>
      </c>
    </row>
    <row r="651" spans="3:16" ht="12.75">
      <c r="C651" s="780">
        <f>IF(D608="","-",+C650+1)</f>
        <v>2052</v>
      </c>
      <c r="D651" s="728">
        <f t="shared" si="57"/>
        <v>64856676.03515625</v>
      </c>
      <c r="E651" s="781">
        <f t="shared" si="59"/>
        <v>2365593.046875</v>
      </c>
      <c r="F651" s="781">
        <f t="shared" si="53"/>
        <v>62491082.98828125</v>
      </c>
      <c r="G651" s="728">
        <f t="shared" si="58"/>
        <v>63673879.51171875</v>
      </c>
      <c r="H651" s="786">
        <f>+J609*G651+E651</f>
        <v>9457159.68051686</v>
      </c>
      <c r="I651" s="787">
        <f>+J610*G651+E651</f>
        <v>9457159.68051686</v>
      </c>
      <c r="J651" s="784">
        <f t="shared" si="60"/>
        <v>0</v>
      </c>
      <c r="K651" s="784"/>
      <c r="L651" s="804"/>
      <c r="M651" s="784">
        <f t="shared" si="54"/>
        <v>0</v>
      </c>
      <c r="N651" s="804"/>
      <c r="O651" s="784">
        <f t="shared" si="55"/>
        <v>0</v>
      </c>
      <c r="P651" s="784">
        <f t="shared" si="56"/>
        <v>0</v>
      </c>
    </row>
    <row r="652" spans="3:16" ht="12.75">
      <c r="C652" s="780">
        <f>IF(D608="","-",+C651+1)</f>
        <v>2053</v>
      </c>
      <c r="D652" s="728">
        <f t="shared" si="57"/>
        <v>62491082.98828125</v>
      </c>
      <c r="E652" s="781">
        <f t="shared" si="59"/>
        <v>2365593.046875</v>
      </c>
      <c r="F652" s="781">
        <f t="shared" si="53"/>
        <v>60125489.94140625</v>
      </c>
      <c r="G652" s="728">
        <f t="shared" si="58"/>
        <v>61308286.46484375</v>
      </c>
      <c r="H652" s="786">
        <f>+J609*G652+E652</f>
        <v>9193695.904654004</v>
      </c>
      <c r="I652" s="787">
        <f>+J610*G652+E652</f>
        <v>9193695.904654004</v>
      </c>
      <c r="J652" s="784">
        <f t="shared" si="60"/>
        <v>0</v>
      </c>
      <c r="K652" s="784"/>
      <c r="L652" s="804"/>
      <c r="M652" s="784">
        <f t="shared" si="54"/>
        <v>0</v>
      </c>
      <c r="N652" s="804"/>
      <c r="O652" s="784">
        <f t="shared" si="55"/>
        <v>0</v>
      </c>
      <c r="P652" s="784">
        <f t="shared" si="56"/>
        <v>0</v>
      </c>
    </row>
    <row r="653" spans="3:16" ht="12.75">
      <c r="C653" s="780">
        <f>IF(D608="","-",+C652+1)</f>
        <v>2054</v>
      </c>
      <c r="D653" s="728">
        <f t="shared" si="57"/>
        <v>60125489.94140625</v>
      </c>
      <c r="E653" s="781">
        <f t="shared" si="59"/>
        <v>2365593.046875</v>
      </c>
      <c r="F653" s="781">
        <f t="shared" si="53"/>
        <v>57759896.89453125</v>
      </c>
      <c r="G653" s="728">
        <f t="shared" si="58"/>
        <v>58942693.41796875</v>
      </c>
      <c r="H653" s="786">
        <f>+J609*G653+E653</f>
        <v>8930232.128791148</v>
      </c>
      <c r="I653" s="787">
        <f>+J610*G653+E653</f>
        <v>8930232.128791148</v>
      </c>
      <c r="J653" s="784">
        <f t="shared" si="60"/>
        <v>0</v>
      </c>
      <c r="K653" s="784"/>
      <c r="L653" s="804"/>
      <c r="M653" s="784">
        <f t="shared" si="54"/>
        <v>0</v>
      </c>
      <c r="N653" s="804"/>
      <c r="O653" s="784">
        <f t="shared" si="55"/>
        <v>0</v>
      </c>
      <c r="P653" s="784">
        <f t="shared" si="56"/>
        <v>0</v>
      </c>
    </row>
    <row r="654" spans="3:16" ht="12.75">
      <c r="C654" s="780">
        <f>IF(D608="","-",+C653+1)</f>
        <v>2055</v>
      </c>
      <c r="D654" s="728">
        <f t="shared" si="57"/>
        <v>57759896.89453125</v>
      </c>
      <c r="E654" s="781">
        <f t="shared" si="59"/>
        <v>2365593.046875</v>
      </c>
      <c r="F654" s="781">
        <f t="shared" si="53"/>
        <v>55394303.84765625</v>
      </c>
      <c r="G654" s="728">
        <f t="shared" si="58"/>
        <v>56577100.37109375</v>
      </c>
      <c r="H654" s="786">
        <f>+J609*G654+E654</f>
        <v>8666768.352928292</v>
      </c>
      <c r="I654" s="787">
        <f>+J610*G654+E654</f>
        <v>8666768.352928292</v>
      </c>
      <c r="J654" s="784">
        <f t="shared" si="60"/>
        <v>0</v>
      </c>
      <c r="K654" s="784"/>
      <c r="L654" s="804"/>
      <c r="M654" s="784">
        <f t="shared" si="54"/>
        <v>0</v>
      </c>
      <c r="N654" s="804"/>
      <c r="O654" s="784">
        <f t="shared" si="55"/>
        <v>0</v>
      </c>
      <c r="P654" s="784">
        <f t="shared" si="56"/>
        <v>0</v>
      </c>
    </row>
    <row r="655" spans="3:16" ht="12.75">
      <c r="C655" s="780">
        <f>IF(D608="","-",+C654+1)</f>
        <v>2056</v>
      </c>
      <c r="D655" s="728">
        <f t="shared" si="57"/>
        <v>55394303.84765625</v>
      </c>
      <c r="E655" s="781">
        <f t="shared" si="59"/>
        <v>2365593.046875</v>
      </c>
      <c r="F655" s="781">
        <f t="shared" si="53"/>
        <v>53028710.80078125</v>
      </c>
      <c r="G655" s="728">
        <f t="shared" si="58"/>
        <v>54211507.32421875</v>
      </c>
      <c r="H655" s="786">
        <f>+J609*G655+E655</f>
        <v>8403304.577065438</v>
      </c>
      <c r="I655" s="787">
        <f>+J610*G655+E655</f>
        <v>8403304.577065438</v>
      </c>
      <c r="J655" s="784">
        <f t="shared" si="60"/>
        <v>0</v>
      </c>
      <c r="K655" s="784"/>
      <c r="L655" s="804"/>
      <c r="M655" s="784">
        <f t="shared" si="54"/>
        <v>0</v>
      </c>
      <c r="N655" s="804"/>
      <c r="O655" s="784">
        <f t="shared" si="55"/>
        <v>0</v>
      </c>
      <c r="P655" s="784">
        <f t="shared" si="56"/>
        <v>0</v>
      </c>
    </row>
    <row r="656" spans="3:16" ht="12.75">
      <c r="C656" s="780">
        <f>IF(D608="","-",+C655+1)</f>
        <v>2057</v>
      </c>
      <c r="D656" s="728">
        <f t="shared" si="57"/>
        <v>53028710.80078125</v>
      </c>
      <c r="E656" s="781">
        <f t="shared" si="59"/>
        <v>2365593.046875</v>
      </c>
      <c r="F656" s="781">
        <f t="shared" si="53"/>
        <v>50663117.75390625</v>
      </c>
      <c r="G656" s="728">
        <f t="shared" si="58"/>
        <v>51845914.27734375</v>
      </c>
      <c r="H656" s="786">
        <f>+J609*G656+E656</f>
        <v>8139840.801202582</v>
      </c>
      <c r="I656" s="787">
        <f>+J610*G656+E656</f>
        <v>8139840.801202582</v>
      </c>
      <c r="J656" s="784">
        <f t="shared" si="60"/>
        <v>0</v>
      </c>
      <c r="K656" s="784"/>
      <c r="L656" s="804"/>
      <c r="M656" s="784">
        <f t="shared" si="54"/>
        <v>0</v>
      </c>
      <c r="N656" s="804"/>
      <c r="O656" s="784">
        <f t="shared" si="55"/>
        <v>0</v>
      </c>
      <c r="P656" s="784">
        <f t="shared" si="56"/>
        <v>0</v>
      </c>
    </row>
    <row r="657" spans="3:16" ht="12.75">
      <c r="C657" s="780">
        <f>IF(D608="","-",+C656+1)</f>
        <v>2058</v>
      </c>
      <c r="D657" s="728">
        <f t="shared" si="57"/>
        <v>50663117.75390625</v>
      </c>
      <c r="E657" s="781">
        <f t="shared" si="59"/>
        <v>2365593.046875</v>
      </c>
      <c r="F657" s="781">
        <f t="shared" si="53"/>
        <v>48297524.70703125</v>
      </c>
      <c r="G657" s="728">
        <f t="shared" si="58"/>
        <v>49480321.23046875</v>
      </c>
      <c r="H657" s="786">
        <f>+J609*G657+E657</f>
        <v>7876377.025339726</v>
      </c>
      <c r="I657" s="787">
        <f>+J610*G657+E657</f>
        <v>7876377.025339726</v>
      </c>
      <c r="J657" s="784">
        <f t="shared" si="60"/>
        <v>0</v>
      </c>
      <c r="K657" s="784"/>
      <c r="L657" s="804"/>
      <c r="M657" s="784">
        <f t="shared" si="54"/>
        <v>0</v>
      </c>
      <c r="N657" s="804"/>
      <c r="O657" s="784">
        <f t="shared" si="55"/>
        <v>0</v>
      </c>
      <c r="P657" s="784">
        <f t="shared" si="56"/>
        <v>0</v>
      </c>
    </row>
    <row r="658" spans="3:16" ht="12.75">
      <c r="C658" s="780">
        <f>IF(D608="","-",+C657+1)</f>
        <v>2059</v>
      </c>
      <c r="D658" s="728">
        <f t="shared" si="57"/>
        <v>48297524.70703125</v>
      </c>
      <c r="E658" s="781">
        <f t="shared" si="59"/>
        <v>2365593.046875</v>
      </c>
      <c r="F658" s="781">
        <f t="shared" si="53"/>
        <v>45931931.66015625</v>
      </c>
      <c r="G658" s="728">
        <f t="shared" si="58"/>
        <v>47114728.18359375</v>
      </c>
      <c r="H658" s="786">
        <f>+J609*G658+E658</f>
        <v>7612913.2494768705</v>
      </c>
      <c r="I658" s="787">
        <f>+J610*G658+E658</f>
        <v>7612913.2494768705</v>
      </c>
      <c r="J658" s="784">
        <f t="shared" si="60"/>
        <v>0</v>
      </c>
      <c r="K658" s="784"/>
      <c r="L658" s="804"/>
      <c r="M658" s="784">
        <f t="shared" si="54"/>
        <v>0</v>
      </c>
      <c r="N658" s="804"/>
      <c r="O658" s="784">
        <f t="shared" si="55"/>
        <v>0</v>
      </c>
      <c r="P658" s="784">
        <f t="shared" si="56"/>
        <v>0</v>
      </c>
    </row>
    <row r="659" spans="3:16" ht="12.75">
      <c r="C659" s="780">
        <f>IF(D608="","-",+C658+1)</f>
        <v>2060</v>
      </c>
      <c r="D659" s="728">
        <f t="shared" si="57"/>
        <v>45931931.66015625</v>
      </c>
      <c r="E659" s="781">
        <f t="shared" si="59"/>
        <v>2365593.046875</v>
      </c>
      <c r="F659" s="781">
        <f t="shared" si="53"/>
        <v>43566338.61328125</v>
      </c>
      <c r="G659" s="728">
        <f t="shared" si="58"/>
        <v>44749135.13671875</v>
      </c>
      <c r="H659" s="786">
        <f>+J609*G659+E659</f>
        <v>7349449.473614016</v>
      </c>
      <c r="I659" s="787">
        <f>+J610*G659+E659</f>
        <v>7349449.473614016</v>
      </c>
      <c r="J659" s="784">
        <f t="shared" si="60"/>
        <v>0</v>
      </c>
      <c r="K659" s="784"/>
      <c r="L659" s="804"/>
      <c r="M659" s="784">
        <f t="shared" si="54"/>
        <v>0</v>
      </c>
      <c r="N659" s="804"/>
      <c r="O659" s="784">
        <f t="shared" si="55"/>
        <v>0</v>
      </c>
      <c r="P659" s="784">
        <f t="shared" si="56"/>
        <v>0</v>
      </c>
    </row>
    <row r="660" spans="3:16" ht="12.75">
      <c r="C660" s="780">
        <f>IF(D608="","-",+C659+1)</f>
        <v>2061</v>
      </c>
      <c r="D660" s="728">
        <f t="shared" si="57"/>
        <v>43566338.61328125</v>
      </c>
      <c r="E660" s="781">
        <f t="shared" si="59"/>
        <v>2365593.046875</v>
      </c>
      <c r="F660" s="781">
        <f t="shared" si="53"/>
        <v>41200745.56640625</v>
      </c>
      <c r="G660" s="728">
        <f t="shared" si="58"/>
        <v>42383542.08984375</v>
      </c>
      <c r="H660" s="786">
        <f>+J609*G660+E660</f>
        <v>7085985.69775116</v>
      </c>
      <c r="I660" s="787">
        <f>+J610*G660+E660</f>
        <v>7085985.69775116</v>
      </c>
      <c r="J660" s="784">
        <f t="shared" si="60"/>
        <v>0</v>
      </c>
      <c r="K660" s="784"/>
      <c r="L660" s="804"/>
      <c r="M660" s="784">
        <f t="shared" si="54"/>
        <v>0</v>
      </c>
      <c r="N660" s="804"/>
      <c r="O660" s="784">
        <f t="shared" si="55"/>
        <v>0</v>
      </c>
      <c r="P660" s="784">
        <f t="shared" si="56"/>
        <v>0</v>
      </c>
    </row>
    <row r="661" spans="3:16" ht="12.75">
      <c r="C661" s="780">
        <f>IF(D608="","-",+C660+1)</f>
        <v>2062</v>
      </c>
      <c r="D661" s="728">
        <f t="shared" si="57"/>
        <v>41200745.56640625</v>
      </c>
      <c r="E661" s="781">
        <f t="shared" si="59"/>
        <v>2365593.046875</v>
      </c>
      <c r="F661" s="781">
        <f t="shared" si="53"/>
        <v>38835152.51953125</v>
      </c>
      <c r="G661" s="728">
        <f t="shared" si="58"/>
        <v>40017949.04296875</v>
      </c>
      <c r="H661" s="786">
        <f>+J609*G661+E661</f>
        <v>6822521.921888305</v>
      </c>
      <c r="I661" s="787">
        <f>+J610*G661+E661</f>
        <v>6822521.921888305</v>
      </c>
      <c r="J661" s="784">
        <f t="shared" si="60"/>
        <v>0</v>
      </c>
      <c r="K661" s="784"/>
      <c r="L661" s="804"/>
      <c r="M661" s="784">
        <f t="shared" si="54"/>
        <v>0</v>
      </c>
      <c r="N661" s="804"/>
      <c r="O661" s="784">
        <f t="shared" si="55"/>
        <v>0</v>
      </c>
      <c r="P661" s="784">
        <f t="shared" si="56"/>
        <v>0</v>
      </c>
    </row>
    <row r="662" spans="3:16" ht="12.75">
      <c r="C662" s="780">
        <f>IF(D608="","-",+C661+1)</f>
        <v>2063</v>
      </c>
      <c r="D662" s="728">
        <f t="shared" si="57"/>
        <v>38835152.51953125</v>
      </c>
      <c r="E662" s="781">
        <f t="shared" si="59"/>
        <v>2365593.046875</v>
      </c>
      <c r="F662" s="781">
        <f t="shared" si="53"/>
        <v>36469559.47265625</v>
      </c>
      <c r="G662" s="728">
        <f t="shared" si="58"/>
        <v>37652355.99609375</v>
      </c>
      <c r="H662" s="786">
        <f>+J609*G662+E662</f>
        <v>6559058.146025449</v>
      </c>
      <c r="I662" s="787">
        <f>+J610*G662+E662</f>
        <v>6559058.146025449</v>
      </c>
      <c r="J662" s="784">
        <f t="shared" si="60"/>
        <v>0</v>
      </c>
      <c r="K662" s="784"/>
      <c r="L662" s="804"/>
      <c r="M662" s="784">
        <f t="shared" si="54"/>
        <v>0</v>
      </c>
      <c r="N662" s="804"/>
      <c r="O662" s="784">
        <f t="shared" si="55"/>
        <v>0</v>
      </c>
      <c r="P662" s="784">
        <f t="shared" si="56"/>
        <v>0</v>
      </c>
    </row>
    <row r="663" spans="3:16" ht="12.75">
      <c r="C663" s="780">
        <f>IF(D608="","-",+C662+1)</f>
        <v>2064</v>
      </c>
      <c r="D663" s="728">
        <f t="shared" si="57"/>
        <v>36469559.47265625</v>
      </c>
      <c r="E663" s="781">
        <f t="shared" si="59"/>
        <v>2365593.046875</v>
      </c>
      <c r="F663" s="781">
        <f t="shared" si="53"/>
        <v>34103966.42578125</v>
      </c>
      <c r="G663" s="728">
        <f t="shared" si="58"/>
        <v>35286762.94921875</v>
      </c>
      <c r="H663" s="786">
        <f>+J609*G663+E663</f>
        <v>6295594.370162593</v>
      </c>
      <c r="I663" s="787">
        <f>+J610*G663+E663</f>
        <v>6295594.370162593</v>
      </c>
      <c r="J663" s="784">
        <f t="shared" si="60"/>
        <v>0</v>
      </c>
      <c r="K663" s="784"/>
      <c r="L663" s="804"/>
      <c r="M663" s="784">
        <f t="shared" si="54"/>
        <v>0</v>
      </c>
      <c r="N663" s="804"/>
      <c r="O663" s="784">
        <f t="shared" si="55"/>
        <v>0</v>
      </c>
      <c r="P663" s="784">
        <f t="shared" si="56"/>
        <v>0</v>
      </c>
    </row>
    <row r="664" spans="3:16" ht="12.75">
      <c r="C664" s="780">
        <f>IF(D608="","-",+C663+1)</f>
        <v>2065</v>
      </c>
      <c r="D664" s="728">
        <f t="shared" si="57"/>
        <v>34103966.42578125</v>
      </c>
      <c r="E664" s="781">
        <f t="shared" si="59"/>
        <v>2365593.046875</v>
      </c>
      <c r="F664" s="781">
        <f t="shared" si="53"/>
        <v>31738373.37890625</v>
      </c>
      <c r="G664" s="728">
        <f t="shared" si="58"/>
        <v>32921169.90234375</v>
      </c>
      <c r="H664" s="786">
        <f>+J609*G664+E664</f>
        <v>6032130.594299738</v>
      </c>
      <c r="I664" s="787">
        <f>+J610*G664+E664</f>
        <v>6032130.594299738</v>
      </c>
      <c r="J664" s="784">
        <f t="shared" si="60"/>
        <v>0</v>
      </c>
      <c r="K664" s="784"/>
      <c r="L664" s="804"/>
      <c r="M664" s="784">
        <f t="shared" si="54"/>
        <v>0</v>
      </c>
      <c r="N664" s="804"/>
      <c r="O664" s="784">
        <f t="shared" si="55"/>
        <v>0</v>
      </c>
      <c r="P664" s="784">
        <f t="shared" si="56"/>
        <v>0</v>
      </c>
    </row>
    <row r="665" spans="3:16" ht="12.75">
      <c r="C665" s="780">
        <f>IF(D608="","-",+C664+1)</f>
        <v>2066</v>
      </c>
      <c r="D665" s="728">
        <f t="shared" si="57"/>
        <v>31738373.37890625</v>
      </c>
      <c r="E665" s="781">
        <f t="shared" si="59"/>
        <v>2365593.046875</v>
      </c>
      <c r="F665" s="781">
        <f t="shared" si="53"/>
        <v>29372780.33203125</v>
      </c>
      <c r="G665" s="728">
        <f t="shared" si="58"/>
        <v>30555576.85546875</v>
      </c>
      <c r="H665" s="786">
        <f>+J609*G665+E665</f>
        <v>5768666.818436883</v>
      </c>
      <c r="I665" s="787">
        <f>+J610*G665+E665</f>
        <v>5768666.818436883</v>
      </c>
      <c r="J665" s="784">
        <f t="shared" si="60"/>
        <v>0</v>
      </c>
      <c r="K665" s="784"/>
      <c r="L665" s="804"/>
      <c r="M665" s="784">
        <f t="shared" si="54"/>
        <v>0</v>
      </c>
      <c r="N665" s="804"/>
      <c r="O665" s="784">
        <f t="shared" si="55"/>
        <v>0</v>
      </c>
      <c r="P665" s="784">
        <f t="shared" si="56"/>
        <v>0</v>
      </c>
    </row>
    <row r="666" spans="3:16" ht="12.75">
      <c r="C666" s="780">
        <f>IF(D608="","-",+C665+1)</f>
        <v>2067</v>
      </c>
      <c r="D666" s="728">
        <f t="shared" si="57"/>
        <v>29372780.33203125</v>
      </c>
      <c r="E666" s="781">
        <f t="shared" si="59"/>
        <v>2365593.046875</v>
      </c>
      <c r="F666" s="781">
        <f t="shared" si="53"/>
        <v>27007187.28515625</v>
      </c>
      <c r="G666" s="728">
        <f t="shared" si="58"/>
        <v>28189983.80859375</v>
      </c>
      <c r="H666" s="786">
        <f>+J609*G666+E666</f>
        <v>5505203.042574028</v>
      </c>
      <c r="I666" s="787">
        <f>+J610*G666+E666</f>
        <v>5505203.042574028</v>
      </c>
      <c r="J666" s="784">
        <f t="shared" si="60"/>
        <v>0</v>
      </c>
      <c r="K666" s="784"/>
      <c r="L666" s="804"/>
      <c r="M666" s="784">
        <f t="shared" si="54"/>
        <v>0</v>
      </c>
      <c r="N666" s="804"/>
      <c r="O666" s="784">
        <f t="shared" si="55"/>
        <v>0</v>
      </c>
      <c r="P666" s="784">
        <f t="shared" si="56"/>
        <v>0</v>
      </c>
    </row>
    <row r="667" spans="3:16" ht="12.75">
      <c r="C667" s="780">
        <f>IF(D608="","-",+C666+1)</f>
        <v>2068</v>
      </c>
      <c r="D667" s="728">
        <f t="shared" si="57"/>
        <v>27007187.28515625</v>
      </c>
      <c r="E667" s="781">
        <f t="shared" si="59"/>
        <v>2365593.046875</v>
      </c>
      <c r="F667" s="781">
        <f t="shared" si="53"/>
        <v>24641594.23828125</v>
      </c>
      <c r="G667" s="728">
        <f t="shared" si="58"/>
        <v>25824390.76171875</v>
      </c>
      <c r="H667" s="786">
        <f>+J609*G667+E667</f>
        <v>5241739.266711172</v>
      </c>
      <c r="I667" s="787">
        <f>+J610*G667+E667</f>
        <v>5241739.266711172</v>
      </c>
      <c r="J667" s="784">
        <f t="shared" si="60"/>
        <v>0</v>
      </c>
      <c r="K667" s="784"/>
      <c r="L667" s="804"/>
      <c r="M667" s="784">
        <f t="shared" si="54"/>
        <v>0</v>
      </c>
      <c r="N667" s="804"/>
      <c r="O667" s="784">
        <f t="shared" si="55"/>
        <v>0</v>
      </c>
      <c r="P667" s="784">
        <f t="shared" si="56"/>
        <v>0</v>
      </c>
    </row>
    <row r="668" spans="3:16" ht="12.75">
      <c r="C668" s="780">
        <f>IF(D608="","-",+C667+1)</f>
        <v>2069</v>
      </c>
      <c r="D668" s="728">
        <f aca="true" t="shared" si="61" ref="D668:D673">F667</f>
        <v>24641594.23828125</v>
      </c>
      <c r="E668" s="781">
        <f t="shared" si="59"/>
        <v>2365593.046875</v>
      </c>
      <c r="F668" s="781">
        <f t="shared" si="53"/>
        <v>22276001.19140625</v>
      </c>
      <c r="G668" s="728">
        <f t="shared" si="58"/>
        <v>23458797.71484375</v>
      </c>
      <c r="H668" s="786">
        <f>+J609*G668+E668</f>
        <v>4978275.490848316</v>
      </c>
      <c r="I668" s="787">
        <f>+J610*G668+E668</f>
        <v>4978275.490848316</v>
      </c>
      <c r="J668" s="784">
        <f t="shared" si="60"/>
        <v>0</v>
      </c>
      <c r="K668" s="784"/>
      <c r="L668" s="804"/>
      <c r="M668" s="784">
        <f t="shared" si="54"/>
        <v>0</v>
      </c>
      <c r="N668" s="804"/>
      <c r="O668" s="784">
        <f t="shared" si="55"/>
        <v>0</v>
      </c>
      <c r="P668" s="784">
        <f t="shared" si="56"/>
        <v>0</v>
      </c>
    </row>
    <row r="669" spans="3:16" ht="12.75">
      <c r="C669" s="780">
        <f>IF(D608="","-",+C668+1)</f>
        <v>2070</v>
      </c>
      <c r="D669" s="728">
        <f t="shared" si="61"/>
        <v>22276001.19140625</v>
      </c>
      <c r="E669" s="781">
        <f t="shared" si="59"/>
        <v>2365593.046875</v>
      </c>
      <c r="F669" s="781">
        <f t="shared" si="53"/>
        <v>19910408.14453125</v>
      </c>
      <c r="G669" s="728">
        <f t="shared" si="58"/>
        <v>21093204.66796875</v>
      </c>
      <c r="H669" s="786">
        <f>+J609*G669+E669</f>
        <v>4714811.714985461</v>
      </c>
      <c r="I669" s="787">
        <f>+J610*G669+E669</f>
        <v>4714811.714985461</v>
      </c>
      <c r="J669" s="784">
        <f t="shared" si="60"/>
        <v>0</v>
      </c>
      <c r="K669" s="784"/>
      <c r="L669" s="804"/>
      <c r="M669" s="784">
        <f t="shared" si="54"/>
        <v>0</v>
      </c>
      <c r="N669" s="804"/>
      <c r="O669" s="784">
        <f t="shared" si="55"/>
        <v>0</v>
      </c>
      <c r="P669" s="784">
        <f t="shared" si="56"/>
        <v>0</v>
      </c>
    </row>
    <row r="670" spans="3:16" ht="12.75">
      <c r="C670" s="780">
        <f>IF(D608="","-",+C669+1)</f>
        <v>2071</v>
      </c>
      <c r="D670" s="728">
        <f t="shared" si="61"/>
        <v>19910408.14453125</v>
      </c>
      <c r="E670" s="781">
        <f t="shared" si="59"/>
        <v>2365593.046875</v>
      </c>
      <c r="F670" s="781">
        <f t="shared" si="53"/>
        <v>17544815.09765625</v>
      </c>
      <c r="G670" s="728">
        <f t="shared" si="58"/>
        <v>18727611.62109375</v>
      </c>
      <c r="H670" s="786">
        <f>+J609*G670+E670</f>
        <v>4451347.939122606</v>
      </c>
      <c r="I670" s="787">
        <f>+J610*G670+E670</f>
        <v>4451347.939122606</v>
      </c>
      <c r="J670" s="784">
        <f t="shared" si="60"/>
        <v>0</v>
      </c>
      <c r="K670" s="784"/>
      <c r="L670" s="804"/>
      <c r="M670" s="784">
        <f t="shared" si="54"/>
        <v>0</v>
      </c>
      <c r="N670" s="804"/>
      <c r="O670" s="784">
        <f t="shared" si="55"/>
        <v>0</v>
      </c>
      <c r="P670" s="784">
        <f t="shared" si="56"/>
        <v>0</v>
      </c>
    </row>
    <row r="671" spans="3:16" ht="12.75">
      <c r="C671" s="780">
        <f>IF(D608="","-",+C670+1)</f>
        <v>2072</v>
      </c>
      <c r="D671" s="728">
        <f t="shared" si="61"/>
        <v>17544815.09765625</v>
      </c>
      <c r="E671" s="781">
        <f t="shared" si="59"/>
        <v>2365593.046875</v>
      </c>
      <c r="F671" s="781">
        <f t="shared" si="53"/>
        <v>15179222.05078125</v>
      </c>
      <c r="G671" s="728">
        <f t="shared" si="58"/>
        <v>16362018.57421875</v>
      </c>
      <c r="H671" s="786">
        <f>+J609*G671+E671</f>
        <v>4187884.16325975</v>
      </c>
      <c r="I671" s="787">
        <f>+J610*G671+E671</f>
        <v>4187884.16325975</v>
      </c>
      <c r="J671" s="784">
        <f t="shared" si="60"/>
        <v>0</v>
      </c>
      <c r="K671" s="784"/>
      <c r="L671" s="804"/>
      <c r="M671" s="784">
        <f t="shared" si="54"/>
        <v>0</v>
      </c>
      <c r="N671" s="804"/>
      <c r="O671" s="784">
        <f t="shared" si="55"/>
        <v>0</v>
      </c>
      <c r="P671" s="784">
        <f t="shared" si="56"/>
        <v>0</v>
      </c>
    </row>
    <row r="672" spans="3:16" ht="12.75">
      <c r="C672" s="780">
        <f>IF(D608="","-",+C671+1)</f>
        <v>2073</v>
      </c>
      <c r="D672" s="728">
        <f t="shared" si="61"/>
        <v>15179222.05078125</v>
      </c>
      <c r="E672" s="781">
        <f t="shared" si="59"/>
        <v>2365593.046875</v>
      </c>
      <c r="F672" s="781">
        <f t="shared" si="53"/>
        <v>12813629.00390625</v>
      </c>
      <c r="G672" s="728">
        <f t="shared" si="58"/>
        <v>13996425.52734375</v>
      </c>
      <c r="H672" s="786">
        <f>+J609*G672+E672</f>
        <v>3924420.3873968944</v>
      </c>
      <c r="I672" s="787">
        <f>+J610*G672+E672</f>
        <v>3924420.3873968944</v>
      </c>
      <c r="J672" s="784">
        <f t="shared" si="60"/>
        <v>0</v>
      </c>
      <c r="K672" s="784"/>
      <c r="L672" s="804"/>
      <c r="M672" s="784">
        <f t="shared" si="54"/>
        <v>0</v>
      </c>
      <c r="N672" s="804"/>
      <c r="O672" s="784">
        <f t="shared" si="55"/>
        <v>0</v>
      </c>
      <c r="P672" s="784">
        <f t="shared" si="56"/>
        <v>0</v>
      </c>
    </row>
    <row r="673" spans="3:16" ht="13.5" thickBot="1">
      <c r="C673" s="790">
        <f>IF(D608="","-",+C672+1)</f>
        <v>2074</v>
      </c>
      <c r="D673" s="791">
        <f t="shared" si="61"/>
        <v>12813629.00390625</v>
      </c>
      <c r="E673" s="781">
        <f t="shared" si="59"/>
        <v>2365593.046875</v>
      </c>
      <c r="F673" s="792">
        <f t="shared" si="53"/>
        <v>10448035.95703125</v>
      </c>
      <c r="G673" s="791">
        <f t="shared" si="58"/>
        <v>11630832.48046875</v>
      </c>
      <c r="H673" s="793">
        <f>+J609*G673+E673</f>
        <v>3660956.6115340395</v>
      </c>
      <c r="I673" s="793">
        <f>+J610*G673+E673</f>
        <v>3660956.6115340395</v>
      </c>
      <c r="J673" s="794">
        <f t="shared" si="60"/>
        <v>0</v>
      </c>
      <c r="K673" s="784"/>
      <c r="L673" s="805"/>
      <c r="M673" s="794">
        <f t="shared" si="54"/>
        <v>0</v>
      </c>
      <c r="N673" s="805"/>
      <c r="O673" s="794">
        <f t="shared" si="55"/>
        <v>0</v>
      </c>
      <c r="P673" s="794">
        <f t="shared" si="56"/>
        <v>0</v>
      </c>
    </row>
    <row r="674" spans="3:15" ht="12.75">
      <c r="C674" s="728" t="s">
        <v>92</v>
      </c>
      <c r="D674" s="722"/>
      <c r="E674" s="722">
        <f>SUM(E614:E673)</f>
        <v>140949919.04296875</v>
      </c>
      <c r="F674" s="722"/>
      <c r="G674" s="722"/>
      <c r="H674" s="722">
        <f>SUM(H614:H673)</f>
        <v>684947727.9131271</v>
      </c>
      <c r="I674" s="722">
        <f>SUM(I614:I673)</f>
        <v>684947727.9131271</v>
      </c>
      <c r="J674" s="722">
        <f>SUM(J614:J673)</f>
        <v>0</v>
      </c>
      <c r="K674" s="722"/>
      <c r="L674" s="722"/>
      <c r="M674" s="722"/>
      <c r="N674" s="722"/>
      <c r="O674" s="722"/>
    </row>
    <row r="675" spans="4:15" ht="12.75">
      <c r="D675" s="532"/>
      <c r="E675" s="308"/>
      <c r="F675" s="308"/>
      <c r="G675" s="308"/>
      <c r="H675" s="308"/>
      <c r="I675" s="701"/>
      <c r="J675" s="701"/>
      <c r="K675" s="722"/>
      <c r="L675" s="701"/>
      <c r="M675" s="701"/>
      <c r="N675" s="701"/>
      <c r="O675" s="701"/>
    </row>
    <row r="676" spans="3:15" ht="12.75">
      <c r="C676" s="308" t="s">
        <v>14</v>
      </c>
      <c r="D676" s="532"/>
      <c r="E676" s="308"/>
      <c r="F676" s="308"/>
      <c r="G676" s="308"/>
      <c r="H676" s="308"/>
      <c r="I676" s="701"/>
      <c r="J676" s="701"/>
      <c r="K676" s="722"/>
      <c r="L676" s="701"/>
      <c r="M676" s="701"/>
      <c r="N676" s="701"/>
      <c r="O676" s="701"/>
    </row>
    <row r="677" spans="3:15" ht="12.75">
      <c r="C677" s="308"/>
      <c r="D677" s="532"/>
      <c r="E677" s="308"/>
      <c r="F677" s="308"/>
      <c r="G677" s="308"/>
      <c r="H677" s="308"/>
      <c r="I677" s="701"/>
      <c r="J677" s="701"/>
      <c r="K677" s="722"/>
      <c r="L677" s="701"/>
      <c r="M677" s="701"/>
      <c r="N677" s="701"/>
      <c r="O677" s="701"/>
    </row>
    <row r="678" spans="3:15" ht="12.75">
      <c r="C678" s="741" t="s">
        <v>15</v>
      </c>
      <c r="D678" s="728"/>
      <c r="E678" s="728"/>
      <c r="F678" s="728"/>
      <c r="G678" s="728"/>
      <c r="H678" s="722"/>
      <c r="I678" s="722"/>
      <c r="J678" s="796"/>
      <c r="K678" s="796"/>
      <c r="L678" s="796"/>
      <c r="M678" s="796"/>
      <c r="N678" s="796"/>
      <c r="O678" s="796"/>
    </row>
    <row r="679" spans="3:15" ht="12.75">
      <c r="C679" s="727" t="s">
        <v>272</v>
      </c>
      <c r="D679" s="728"/>
      <c r="E679" s="728"/>
      <c r="F679" s="728"/>
      <c r="G679" s="728"/>
      <c r="H679" s="722"/>
      <c r="I679" s="722"/>
      <c r="J679" s="796"/>
      <c r="K679" s="796"/>
      <c r="L679" s="796"/>
      <c r="M679" s="796"/>
      <c r="N679" s="796"/>
      <c r="O679" s="796"/>
    </row>
    <row r="680" spans="3:15" ht="12.75">
      <c r="C680" s="727" t="s">
        <v>93</v>
      </c>
      <c r="D680" s="728"/>
      <c r="E680" s="728"/>
      <c r="F680" s="728"/>
      <c r="G680" s="728"/>
      <c r="H680" s="722"/>
      <c r="I680" s="722"/>
      <c r="J680" s="796"/>
      <c r="K680" s="796"/>
      <c r="L680" s="796"/>
      <c r="M680" s="796"/>
      <c r="N680" s="796"/>
      <c r="O680" s="796"/>
    </row>
    <row r="681" spans="1:17" ht="20.25">
      <c r="A681" s="729" t="str">
        <f>""&amp;A606&amp;" Worksheet K -  ATRR TRUE-UP Calculation for PJM Projects Charged to Benefiting Zones"</f>
        <v> Worksheet K -  ATRR TRUE-UP Calculation for PJM Projects Charged to Benefiting Zones</v>
      </c>
      <c r="B681" s="341"/>
      <c r="C681" s="717"/>
      <c r="D681" s="532"/>
      <c r="E681" s="308"/>
      <c r="F681" s="700"/>
      <c r="G681" s="700"/>
      <c r="H681" s="308"/>
      <c r="I681" s="701"/>
      <c r="L681" s="557"/>
      <c r="M681" s="557"/>
      <c r="N681" s="557"/>
      <c r="O681" s="646" t="str">
        <f>"Page "&amp;SUM(Q$6:Q681)&amp;" of "</f>
        <v>Page 9 of </v>
      </c>
      <c r="P681" s="647">
        <f>COUNT(Q$6:Q$58387)</f>
        <v>12</v>
      </c>
      <c r="Q681" s="730">
        <v>1</v>
      </c>
    </row>
    <row r="682" spans="2:11" ht="12.75">
      <c r="B682" s="341"/>
      <c r="C682" s="308"/>
      <c r="D682" s="532"/>
      <c r="E682" s="308"/>
      <c r="F682" s="308"/>
      <c r="G682" s="308"/>
      <c r="H682" s="308"/>
      <c r="I682" s="701"/>
      <c r="J682" s="308"/>
      <c r="K682" s="420"/>
    </row>
    <row r="683" spans="2:17" ht="18">
      <c r="B683" s="650" t="s">
        <v>475</v>
      </c>
      <c r="C683" s="731" t="s">
        <v>94</v>
      </c>
      <c r="D683" s="532"/>
      <c r="E683" s="308"/>
      <c r="F683" s="308"/>
      <c r="G683" s="308"/>
      <c r="H683" s="308"/>
      <c r="I683" s="701"/>
      <c r="J683" s="701"/>
      <c r="K683" s="722"/>
      <c r="L683" s="701"/>
      <c r="M683" s="701"/>
      <c r="N683" s="701"/>
      <c r="O683" s="701"/>
      <c r="Q683" s="420"/>
    </row>
    <row r="684" spans="2:15" ht="18.75">
      <c r="B684" s="650"/>
      <c r="C684" s="649"/>
      <c r="D684" s="532"/>
      <c r="E684" s="308"/>
      <c r="F684" s="308"/>
      <c r="G684" s="308"/>
      <c r="H684" s="308"/>
      <c r="I684" s="701"/>
      <c r="J684" s="701"/>
      <c r="K684" s="722"/>
      <c r="L684" s="701"/>
      <c r="M684" s="701"/>
      <c r="N684" s="701"/>
      <c r="O684" s="701"/>
    </row>
    <row r="685" spans="2:15" ht="18.75">
      <c r="B685" s="650"/>
      <c r="C685" s="649" t="s">
        <v>95</v>
      </c>
      <c r="D685" s="532"/>
      <c r="E685" s="308"/>
      <c r="F685" s="308"/>
      <c r="G685" s="308"/>
      <c r="H685" s="308"/>
      <c r="I685" s="701"/>
      <c r="J685" s="701"/>
      <c r="K685" s="722"/>
      <c r="L685" s="701"/>
      <c r="M685" s="701"/>
      <c r="N685" s="701"/>
      <c r="O685" s="701"/>
    </row>
    <row r="686" spans="3:15" ht="15.75" thickBot="1">
      <c r="C686" s="236"/>
      <c r="D686" s="532"/>
      <c r="E686" s="308"/>
      <c r="F686" s="308"/>
      <c r="G686" s="308"/>
      <c r="H686" s="308"/>
      <c r="I686" s="701"/>
      <c r="J686" s="701"/>
      <c r="K686" s="722"/>
      <c r="L686" s="701"/>
      <c r="M686" s="701"/>
      <c r="N686" s="701"/>
      <c r="O686" s="701"/>
    </row>
    <row r="687" spans="3:15" ht="15.75">
      <c r="C687" s="652" t="s">
        <v>96</v>
      </c>
      <c r="D687" s="532"/>
      <c r="E687" s="308"/>
      <c r="F687" s="308"/>
      <c r="G687" s="308"/>
      <c r="H687" s="798"/>
      <c r="I687" s="308" t="s">
        <v>75</v>
      </c>
      <c r="J687" s="308"/>
      <c r="K687" s="420"/>
      <c r="L687" s="827">
        <f>+J693</f>
        <v>2017</v>
      </c>
      <c r="M687" s="808" t="s">
        <v>53</v>
      </c>
      <c r="N687" s="808" t="s">
        <v>54</v>
      </c>
      <c r="O687" s="809" t="s">
        <v>56</v>
      </c>
    </row>
    <row r="688" spans="3:15" ht="15.75">
      <c r="C688" s="652"/>
      <c r="D688" s="532"/>
      <c r="E688" s="308"/>
      <c r="F688" s="308"/>
      <c r="H688" s="308"/>
      <c r="I688" s="736"/>
      <c r="J688" s="736"/>
      <c r="K688" s="737"/>
      <c r="L688" s="828" t="s">
        <v>244</v>
      </c>
      <c r="M688" s="829">
        <f>VLOOKUP(J693,C700:P759,10)</f>
        <v>552054</v>
      </c>
      <c r="N688" s="829">
        <f>VLOOKUP(J693,C700:P759,12)</f>
        <v>552054</v>
      </c>
      <c r="O688" s="830">
        <f>+N688-M688</f>
        <v>0</v>
      </c>
    </row>
    <row r="689" spans="3:15" ht="12.75" customHeight="1">
      <c r="C689" s="741" t="s">
        <v>97</v>
      </c>
      <c r="D689" s="1472" t="s">
        <v>920</v>
      </c>
      <c r="E689" s="1472"/>
      <c r="F689" s="1472"/>
      <c r="G689" s="1472"/>
      <c r="H689" s="1472"/>
      <c r="I689" s="1472"/>
      <c r="J689" s="1472"/>
      <c r="K689" s="722"/>
      <c r="L689" s="828" t="s">
        <v>245</v>
      </c>
      <c r="M689" s="831">
        <f>VLOOKUP(J693,C700:P759,6)</f>
        <v>540861.4656947814</v>
      </c>
      <c r="N689" s="831">
        <f>VLOOKUP(J693,C700:P759,7)</f>
        <v>540861.4656947814</v>
      </c>
      <c r="O689" s="832">
        <f>+N689-M689</f>
        <v>0</v>
      </c>
    </row>
    <row r="690" spans="3:15" ht="13.5" thickBot="1">
      <c r="C690" s="745"/>
      <c r="D690" s="1472"/>
      <c r="E690" s="1472"/>
      <c r="F690" s="1472"/>
      <c r="G690" s="1472"/>
      <c r="H690" s="1472"/>
      <c r="I690" s="1472"/>
      <c r="J690" s="1472"/>
      <c r="K690" s="722"/>
      <c r="L690" s="764" t="s">
        <v>246</v>
      </c>
      <c r="M690" s="833">
        <f>+M689-M688</f>
        <v>-11192.534305218607</v>
      </c>
      <c r="N690" s="833">
        <f>+N689-N688</f>
        <v>-11192.534305218607</v>
      </c>
      <c r="O690" s="834">
        <f>+O689-O688</f>
        <v>0</v>
      </c>
    </row>
    <row r="691" spans="3:16" ht="13.5" thickBot="1">
      <c r="C691" s="748"/>
      <c r="D691" s="749"/>
      <c r="E691" s="747"/>
      <c r="F691" s="747"/>
      <c r="G691" s="747"/>
      <c r="H691" s="747"/>
      <c r="I691" s="747"/>
      <c r="J691" s="747"/>
      <c r="K691" s="750"/>
      <c r="L691" s="747"/>
      <c r="M691" s="747"/>
      <c r="N691" s="747"/>
      <c r="O691" s="747"/>
      <c r="P691" s="341"/>
    </row>
    <row r="692" spans="3:16" ht="13.5" thickBot="1">
      <c r="C692" s="751" t="s">
        <v>98</v>
      </c>
      <c r="D692" s="752"/>
      <c r="E692" s="752"/>
      <c r="F692" s="752"/>
      <c r="G692" s="752"/>
      <c r="H692" s="752"/>
      <c r="I692" s="752"/>
      <c r="J692" s="752"/>
      <c r="K692" s="754"/>
      <c r="P692" s="755"/>
    </row>
    <row r="693" spans="3:16" ht="15">
      <c r="C693" s="756" t="s">
        <v>76</v>
      </c>
      <c r="D693" s="1376">
        <v>4358345</v>
      </c>
      <c r="E693" s="717" t="s">
        <v>77</v>
      </c>
      <c r="H693" s="757"/>
      <c r="I693" s="757"/>
      <c r="J693" s="758">
        <v>2017</v>
      </c>
      <c r="K693" s="548"/>
      <c r="L693" s="1462" t="s">
        <v>78</v>
      </c>
      <c r="M693" s="1462"/>
      <c r="N693" s="1462"/>
      <c r="O693" s="1462"/>
      <c r="P693" s="420"/>
    </row>
    <row r="694" spans="3:16" ht="12.75">
      <c r="C694" s="756" t="s">
        <v>79</v>
      </c>
      <c r="D694" s="1377">
        <v>2015</v>
      </c>
      <c r="E694" s="756" t="s">
        <v>80</v>
      </c>
      <c r="F694" s="757"/>
      <c r="G694" s="757"/>
      <c r="I694" s="169"/>
      <c r="J694" s="802">
        <f>IF(H687="",0,$F$15)</f>
        <v>0</v>
      </c>
      <c r="K694" s="759"/>
      <c r="L694" s="722" t="s">
        <v>286</v>
      </c>
      <c r="P694" s="420"/>
    </row>
    <row r="695" spans="3:16" ht="12.75">
      <c r="C695" s="756" t="s">
        <v>81</v>
      </c>
      <c r="D695" s="1376">
        <v>10</v>
      </c>
      <c r="E695" s="756" t="s">
        <v>82</v>
      </c>
      <c r="F695" s="757"/>
      <c r="G695" s="757"/>
      <c r="I695" s="169"/>
      <c r="J695" s="760">
        <f>$F$68</f>
        <v>0.11137324579597359</v>
      </c>
      <c r="K695" s="761"/>
      <c r="L695" s="308" t="str">
        <f>"          INPUT TRUE-UP ARR (WITH &amp; WITHOUT INCENTIVES) FROM EACH PRIOR YEAR"</f>
        <v>          INPUT TRUE-UP ARR (WITH &amp; WITHOUT INCENTIVES) FROM EACH PRIOR YEAR</v>
      </c>
      <c r="P695" s="420"/>
    </row>
    <row r="696" spans="3:16" ht="12.75">
      <c r="C696" s="756" t="s">
        <v>83</v>
      </c>
      <c r="D696" s="762">
        <f>H$77</f>
        <v>64</v>
      </c>
      <c r="E696" s="756" t="s">
        <v>84</v>
      </c>
      <c r="F696" s="757"/>
      <c r="G696" s="757"/>
      <c r="I696" s="169"/>
      <c r="J696" s="760">
        <f>IF(H687="",+J695,$F$67)</f>
        <v>0.11137324579597359</v>
      </c>
      <c r="K696" s="763"/>
      <c r="L696" s="308" t="s">
        <v>166</v>
      </c>
      <c r="M696" s="763"/>
      <c r="N696" s="763"/>
      <c r="O696" s="763"/>
      <c r="P696" s="420"/>
    </row>
    <row r="697" spans="3:16" ht="13.5" thickBot="1">
      <c r="C697" s="756" t="s">
        <v>85</v>
      </c>
      <c r="D697" s="799" t="s">
        <v>877</v>
      </c>
      <c r="E697" s="764" t="s">
        <v>86</v>
      </c>
      <c r="F697" s="765"/>
      <c r="G697" s="765"/>
      <c r="H697" s="766"/>
      <c r="I697" s="766"/>
      <c r="J697" s="744">
        <f>IF(D693=0,0,D693/D696)</f>
        <v>68099.140625</v>
      </c>
      <c r="K697" s="722"/>
      <c r="L697" s="722" t="s">
        <v>167</v>
      </c>
      <c r="M697" s="722"/>
      <c r="N697" s="722"/>
      <c r="O697" s="722"/>
      <c r="P697" s="420"/>
    </row>
    <row r="698" spans="2:16" ht="38.25">
      <c r="B698" s="837"/>
      <c r="C698" s="767" t="s">
        <v>76</v>
      </c>
      <c r="D698" s="768" t="s">
        <v>87</v>
      </c>
      <c r="E698" s="769" t="s">
        <v>88</v>
      </c>
      <c r="F698" s="768" t="s">
        <v>89</v>
      </c>
      <c r="G698" s="768" t="s">
        <v>247</v>
      </c>
      <c r="H698" s="769" t="s">
        <v>160</v>
      </c>
      <c r="I698" s="770" t="s">
        <v>160</v>
      </c>
      <c r="J698" s="767" t="s">
        <v>99</v>
      </c>
      <c r="K698" s="771"/>
      <c r="L698" s="769" t="s">
        <v>162</v>
      </c>
      <c r="M698" s="769" t="s">
        <v>168</v>
      </c>
      <c r="N698" s="769" t="s">
        <v>162</v>
      </c>
      <c r="O698" s="769" t="s">
        <v>170</v>
      </c>
      <c r="P698" s="769" t="s">
        <v>90</v>
      </c>
    </row>
    <row r="699" spans="3:16" ht="13.5" thickBot="1">
      <c r="C699" s="773" t="s">
        <v>478</v>
      </c>
      <c r="D699" s="774" t="s">
        <v>479</v>
      </c>
      <c r="E699" s="773" t="s">
        <v>372</v>
      </c>
      <c r="F699" s="774" t="s">
        <v>479</v>
      </c>
      <c r="G699" s="774" t="s">
        <v>479</v>
      </c>
      <c r="H699" s="775" t="s">
        <v>102</v>
      </c>
      <c r="I699" s="776" t="s">
        <v>104</v>
      </c>
      <c r="J699" s="777" t="s">
        <v>16</v>
      </c>
      <c r="K699" s="778"/>
      <c r="L699" s="775" t="s">
        <v>91</v>
      </c>
      <c r="M699" s="775" t="s">
        <v>91</v>
      </c>
      <c r="N699" s="775" t="s">
        <v>264</v>
      </c>
      <c r="O699" s="775" t="s">
        <v>264</v>
      </c>
      <c r="P699" s="775" t="s">
        <v>264</v>
      </c>
    </row>
    <row r="700" spans="3:16" ht="12.75">
      <c r="C700" s="1308">
        <f>IF(D694="","-",D694)</f>
        <v>2015</v>
      </c>
      <c r="D700" s="728">
        <f>+D693</f>
        <v>4358345</v>
      </c>
      <c r="E700" s="786">
        <f>+J697/12*(12-D695)</f>
        <v>11349.856770833334</v>
      </c>
      <c r="F700" s="835">
        <f aca="true" t="shared" si="62" ref="F700:F759">+D700-E700</f>
        <v>4346995.143229167</v>
      </c>
      <c r="G700" s="728">
        <f>+(D700+F700)/2</f>
        <v>4352670.071614584</v>
      </c>
      <c r="H700" s="782">
        <f>+J695*G700+E700</f>
        <v>496120.85052554234</v>
      </c>
      <c r="I700" s="783">
        <f>+J696*G700+E700</f>
        <v>496120.85052554234</v>
      </c>
      <c r="J700" s="784">
        <f>+I700-H700</f>
        <v>0</v>
      </c>
      <c r="K700" s="784"/>
      <c r="L700" s="803">
        <v>366645</v>
      </c>
      <c r="M700" s="836">
        <f aca="true" t="shared" si="63" ref="M700:M759">IF(L700&lt;&gt;0,+H700-L700,0)</f>
        <v>129475.85052554234</v>
      </c>
      <c r="N700" s="803">
        <v>366645</v>
      </c>
      <c r="O700" s="836">
        <f aca="true" t="shared" si="64" ref="O700:O759">IF(N700&lt;&gt;0,+I700-N700,0)</f>
        <v>129475.85052554234</v>
      </c>
      <c r="P700" s="836">
        <f aca="true" t="shared" si="65" ref="P700:P759">+O700-M700</f>
        <v>0</v>
      </c>
    </row>
    <row r="701" spans="3:16" ht="12.75">
      <c r="C701" s="1308">
        <f>IF(D694="","-",+C700+1)</f>
        <v>2016</v>
      </c>
      <c r="D701" s="728">
        <f aca="true" t="shared" si="66" ref="D701:D753">F700</f>
        <v>4346995.143229167</v>
      </c>
      <c r="E701" s="781">
        <f>IF(D701&gt;$J$697,$J$697,D701)</f>
        <v>68099.140625</v>
      </c>
      <c r="F701" s="781">
        <f t="shared" si="62"/>
        <v>4278896.002604167</v>
      </c>
      <c r="G701" s="728">
        <f aca="true" t="shared" si="67" ref="G701:G759">+(D701+F701)/2</f>
        <v>4312945.572916667</v>
      </c>
      <c r="H701" s="786">
        <f>+J695*G701+E701</f>
        <v>548445.888022104</v>
      </c>
      <c r="I701" s="787">
        <f>+J696*G701+E701</f>
        <v>548445.888022104</v>
      </c>
      <c r="J701" s="784">
        <f>+I701-H701</f>
        <v>0</v>
      </c>
      <c r="K701" s="784"/>
      <c r="L701" s="804">
        <v>493365</v>
      </c>
      <c r="M701" s="784">
        <f t="shared" si="63"/>
        <v>55080.888022104045</v>
      </c>
      <c r="N701" s="804">
        <v>493365</v>
      </c>
      <c r="O701" s="784">
        <f t="shared" si="64"/>
        <v>55080.888022104045</v>
      </c>
      <c r="P701" s="784">
        <f t="shared" si="65"/>
        <v>0</v>
      </c>
    </row>
    <row r="702" spans="3:16" ht="12.75">
      <c r="C702" s="1378">
        <f>IF(D694="","-",+C701+1)</f>
        <v>2017</v>
      </c>
      <c r="D702" s="728">
        <f t="shared" si="66"/>
        <v>4278896.002604167</v>
      </c>
      <c r="E702" s="781">
        <f aca="true" t="shared" si="68" ref="E702:E759">IF(D702&gt;$J$697,$J$697,D702)</f>
        <v>68099.140625</v>
      </c>
      <c r="F702" s="781">
        <f t="shared" si="62"/>
        <v>4210796.861979167</v>
      </c>
      <c r="G702" s="728">
        <f t="shared" si="67"/>
        <v>4244846.432291667</v>
      </c>
      <c r="H702" s="786">
        <f>+J695*G702+E702</f>
        <v>540861.4656947814</v>
      </c>
      <c r="I702" s="787">
        <f>+J696*G702+E702</f>
        <v>540861.4656947814</v>
      </c>
      <c r="J702" s="784">
        <f aca="true" t="shared" si="69" ref="J702:J759">+I702-H702</f>
        <v>0</v>
      </c>
      <c r="K702" s="784"/>
      <c r="L702" s="804">
        <v>552054</v>
      </c>
      <c r="M702" s="784">
        <f t="shared" si="63"/>
        <v>-11192.534305218607</v>
      </c>
      <c r="N702" s="804">
        <v>552054</v>
      </c>
      <c r="O702" s="784">
        <f t="shared" si="64"/>
        <v>-11192.534305218607</v>
      </c>
      <c r="P702" s="784">
        <f t="shared" si="65"/>
        <v>0</v>
      </c>
    </row>
    <row r="703" spans="3:16" ht="12.75">
      <c r="C703" s="1308">
        <f>IF(D694="","-",+C702+1)</f>
        <v>2018</v>
      </c>
      <c r="D703" s="728">
        <f t="shared" si="66"/>
        <v>4210796.861979167</v>
      </c>
      <c r="E703" s="781">
        <f t="shared" si="68"/>
        <v>68099.140625</v>
      </c>
      <c r="F703" s="781">
        <f t="shared" si="62"/>
        <v>4142697.721354167</v>
      </c>
      <c r="G703" s="728">
        <f t="shared" si="67"/>
        <v>4176747.291666667</v>
      </c>
      <c r="H703" s="786">
        <f>+J695*G703+E703</f>
        <v>533277.0433674587</v>
      </c>
      <c r="I703" s="787">
        <f>+J696*G703+E703</f>
        <v>533277.0433674587</v>
      </c>
      <c r="J703" s="784">
        <f t="shared" si="69"/>
        <v>0</v>
      </c>
      <c r="K703" s="784"/>
      <c r="L703" s="804"/>
      <c r="M703" s="784">
        <f t="shared" si="63"/>
        <v>0</v>
      </c>
      <c r="N703" s="804"/>
      <c r="O703" s="784">
        <f t="shared" si="64"/>
        <v>0</v>
      </c>
      <c r="P703" s="784">
        <f t="shared" si="65"/>
        <v>0</v>
      </c>
    </row>
    <row r="704" spans="3:16" ht="12.75">
      <c r="C704" s="1308">
        <f>IF(D694="","-",+C703+1)</f>
        <v>2019</v>
      </c>
      <c r="D704" s="728">
        <f t="shared" si="66"/>
        <v>4142697.721354167</v>
      </c>
      <c r="E704" s="781">
        <f t="shared" si="68"/>
        <v>68099.140625</v>
      </c>
      <c r="F704" s="781">
        <f t="shared" si="62"/>
        <v>4074598.580729167</v>
      </c>
      <c r="G704" s="728">
        <f t="shared" si="67"/>
        <v>4108648.151041667</v>
      </c>
      <c r="H704" s="786">
        <f>+J695*G704+E704</f>
        <v>525692.621040136</v>
      </c>
      <c r="I704" s="787">
        <f>+J696*G704+E704</f>
        <v>525692.621040136</v>
      </c>
      <c r="J704" s="784">
        <f t="shared" si="69"/>
        <v>0</v>
      </c>
      <c r="K704" s="784"/>
      <c r="L704" s="804"/>
      <c r="M704" s="784">
        <f t="shared" si="63"/>
        <v>0</v>
      </c>
      <c r="N704" s="804"/>
      <c r="O704" s="784">
        <f t="shared" si="64"/>
        <v>0</v>
      </c>
      <c r="P704" s="784">
        <f t="shared" si="65"/>
        <v>0</v>
      </c>
    </row>
    <row r="705" spans="3:16" ht="12.75">
      <c r="C705" s="780">
        <f>IF(D694="","-",+C704+1)</f>
        <v>2020</v>
      </c>
      <c r="D705" s="728">
        <f t="shared" si="66"/>
        <v>4074598.580729167</v>
      </c>
      <c r="E705" s="781">
        <f t="shared" si="68"/>
        <v>68099.140625</v>
      </c>
      <c r="F705" s="781">
        <f t="shared" si="62"/>
        <v>4006499.440104167</v>
      </c>
      <c r="G705" s="728">
        <f t="shared" si="67"/>
        <v>4040549.010416667</v>
      </c>
      <c r="H705" s="786">
        <f>+J695*G705+E705</f>
        <v>518108.1987128133</v>
      </c>
      <c r="I705" s="787">
        <f>+J696*G705+E705</f>
        <v>518108.1987128133</v>
      </c>
      <c r="J705" s="784">
        <f t="shared" si="69"/>
        <v>0</v>
      </c>
      <c r="K705" s="784"/>
      <c r="L705" s="804"/>
      <c r="M705" s="784">
        <f t="shared" si="63"/>
        <v>0</v>
      </c>
      <c r="N705" s="804"/>
      <c r="O705" s="784">
        <f t="shared" si="64"/>
        <v>0</v>
      </c>
      <c r="P705" s="784">
        <f t="shared" si="65"/>
        <v>0</v>
      </c>
    </row>
    <row r="706" spans="3:16" ht="12.75">
      <c r="C706" s="780">
        <f>IF(D694="","-",+C705+1)</f>
        <v>2021</v>
      </c>
      <c r="D706" s="728">
        <f t="shared" si="66"/>
        <v>4006499.440104167</v>
      </c>
      <c r="E706" s="781">
        <f t="shared" si="68"/>
        <v>68099.140625</v>
      </c>
      <c r="F706" s="781">
        <f t="shared" si="62"/>
        <v>3938400.299479167</v>
      </c>
      <c r="G706" s="728">
        <f t="shared" si="67"/>
        <v>3972449.869791667</v>
      </c>
      <c r="H706" s="786">
        <f>+J695*G706+E706</f>
        <v>510523.7763854906</v>
      </c>
      <c r="I706" s="787">
        <f>+J696*G706+E706</f>
        <v>510523.7763854906</v>
      </c>
      <c r="J706" s="784">
        <f t="shared" si="69"/>
        <v>0</v>
      </c>
      <c r="K706" s="784"/>
      <c r="L706" s="804"/>
      <c r="M706" s="784">
        <f t="shared" si="63"/>
        <v>0</v>
      </c>
      <c r="N706" s="804"/>
      <c r="O706" s="784">
        <f t="shared" si="64"/>
        <v>0</v>
      </c>
      <c r="P706" s="784">
        <f t="shared" si="65"/>
        <v>0</v>
      </c>
    </row>
    <row r="707" spans="3:16" ht="12.75">
      <c r="C707" s="780">
        <f>IF(D694="","-",+C706+1)</f>
        <v>2022</v>
      </c>
      <c r="D707" s="728">
        <f t="shared" si="66"/>
        <v>3938400.299479167</v>
      </c>
      <c r="E707" s="781">
        <f t="shared" si="68"/>
        <v>68099.140625</v>
      </c>
      <c r="F707" s="781">
        <f t="shared" si="62"/>
        <v>3870301.158854167</v>
      </c>
      <c r="G707" s="728">
        <f t="shared" si="67"/>
        <v>3904350.729166667</v>
      </c>
      <c r="H707" s="786">
        <f>+J695*G707+E707</f>
        <v>502939.3540581679</v>
      </c>
      <c r="I707" s="787">
        <f>+J696*G707+E707</f>
        <v>502939.3540581679</v>
      </c>
      <c r="J707" s="784">
        <f t="shared" si="69"/>
        <v>0</v>
      </c>
      <c r="K707" s="784"/>
      <c r="L707" s="804"/>
      <c r="M707" s="784">
        <f t="shared" si="63"/>
        <v>0</v>
      </c>
      <c r="N707" s="804"/>
      <c r="O707" s="784">
        <f t="shared" si="64"/>
        <v>0</v>
      </c>
      <c r="P707" s="784">
        <f t="shared" si="65"/>
        <v>0</v>
      </c>
    </row>
    <row r="708" spans="3:16" ht="12.75">
      <c r="C708" s="780">
        <f>IF(D694="","-",+C707+1)</f>
        <v>2023</v>
      </c>
      <c r="D708" s="728">
        <f t="shared" si="66"/>
        <v>3870301.158854167</v>
      </c>
      <c r="E708" s="781">
        <f t="shared" si="68"/>
        <v>68099.140625</v>
      </c>
      <c r="F708" s="781">
        <f t="shared" si="62"/>
        <v>3802202.018229167</v>
      </c>
      <c r="G708" s="728">
        <f t="shared" si="67"/>
        <v>3836251.588541667</v>
      </c>
      <c r="H708" s="786">
        <f>+J695*G708+E708</f>
        <v>495354.9317308452</v>
      </c>
      <c r="I708" s="787">
        <f>+J696*G708+E708</f>
        <v>495354.9317308452</v>
      </c>
      <c r="J708" s="784">
        <f t="shared" si="69"/>
        <v>0</v>
      </c>
      <c r="K708" s="784"/>
      <c r="L708" s="804"/>
      <c r="M708" s="784">
        <f t="shared" si="63"/>
        <v>0</v>
      </c>
      <c r="N708" s="804"/>
      <c r="O708" s="784">
        <f t="shared" si="64"/>
        <v>0</v>
      </c>
      <c r="P708" s="784">
        <f t="shared" si="65"/>
        <v>0</v>
      </c>
    </row>
    <row r="709" spans="3:16" ht="12.75">
      <c r="C709" s="780">
        <f>IF(D694="","-",+C708+1)</f>
        <v>2024</v>
      </c>
      <c r="D709" s="728">
        <f t="shared" si="66"/>
        <v>3802202.018229167</v>
      </c>
      <c r="E709" s="781">
        <f t="shared" si="68"/>
        <v>68099.140625</v>
      </c>
      <c r="F709" s="781">
        <f t="shared" si="62"/>
        <v>3734102.877604167</v>
      </c>
      <c r="G709" s="728">
        <f t="shared" si="67"/>
        <v>3768152.447916667</v>
      </c>
      <c r="H709" s="786">
        <f>+J695*G709+E709</f>
        <v>487770.50940352253</v>
      </c>
      <c r="I709" s="787">
        <f>+J696*G709+E709</f>
        <v>487770.50940352253</v>
      </c>
      <c r="J709" s="784">
        <f t="shared" si="69"/>
        <v>0</v>
      </c>
      <c r="K709" s="784"/>
      <c r="L709" s="804"/>
      <c r="M709" s="784">
        <f t="shared" si="63"/>
        <v>0</v>
      </c>
      <c r="N709" s="804"/>
      <c r="O709" s="784">
        <f t="shared" si="64"/>
        <v>0</v>
      </c>
      <c r="P709" s="784">
        <f t="shared" si="65"/>
        <v>0</v>
      </c>
    </row>
    <row r="710" spans="3:16" ht="12.75">
      <c r="C710" s="780">
        <f>IF(D694="","-",+C709+1)</f>
        <v>2025</v>
      </c>
      <c r="D710" s="728">
        <f t="shared" si="66"/>
        <v>3734102.877604167</v>
      </c>
      <c r="E710" s="781">
        <f t="shared" si="68"/>
        <v>68099.140625</v>
      </c>
      <c r="F710" s="781">
        <f t="shared" si="62"/>
        <v>3666003.736979167</v>
      </c>
      <c r="G710" s="728">
        <f t="shared" si="67"/>
        <v>3700053.307291667</v>
      </c>
      <c r="H710" s="786">
        <f>+J695*G710+E710</f>
        <v>480186.0870761998</v>
      </c>
      <c r="I710" s="787">
        <f>+J696*G710+E710</f>
        <v>480186.0870761998</v>
      </c>
      <c r="J710" s="784">
        <f t="shared" si="69"/>
        <v>0</v>
      </c>
      <c r="K710" s="784"/>
      <c r="L710" s="804"/>
      <c r="M710" s="784">
        <f t="shared" si="63"/>
        <v>0</v>
      </c>
      <c r="N710" s="804"/>
      <c r="O710" s="784">
        <f t="shared" si="64"/>
        <v>0</v>
      </c>
      <c r="P710" s="784">
        <f t="shared" si="65"/>
        <v>0</v>
      </c>
    </row>
    <row r="711" spans="3:16" ht="12.75">
      <c r="C711" s="780">
        <f>IF(D694="","-",+C710+1)</f>
        <v>2026</v>
      </c>
      <c r="D711" s="728">
        <f t="shared" si="66"/>
        <v>3666003.736979167</v>
      </c>
      <c r="E711" s="781">
        <f t="shared" si="68"/>
        <v>68099.140625</v>
      </c>
      <c r="F711" s="781">
        <f t="shared" si="62"/>
        <v>3597904.596354167</v>
      </c>
      <c r="G711" s="728">
        <f t="shared" si="67"/>
        <v>3631954.166666667</v>
      </c>
      <c r="H711" s="786">
        <f>+J695*G711+E711</f>
        <v>472601.6647488771</v>
      </c>
      <c r="I711" s="787">
        <f>+J696*G711+E711</f>
        <v>472601.6647488771</v>
      </c>
      <c r="J711" s="784">
        <f t="shared" si="69"/>
        <v>0</v>
      </c>
      <c r="K711" s="784"/>
      <c r="L711" s="804"/>
      <c r="M711" s="784">
        <f t="shared" si="63"/>
        <v>0</v>
      </c>
      <c r="N711" s="804"/>
      <c r="O711" s="784">
        <f t="shared" si="64"/>
        <v>0</v>
      </c>
      <c r="P711" s="784">
        <f t="shared" si="65"/>
        <v>0</v>
      </c>
    </row>
    <row r="712" spans="3:16" ht="12.75">
      <c r="C712" s="780">
        <f>IF(D694="","-",+C711+1)</f>
        <v>2027</v>
      </c>
      <c r="D712" s="728">
        <f t="shared" si="66"/>
        <v>3597904.596354167</v>
      </c>
      <c r="E712" s="781">
        <f t="shared" si="68"/>
        <v>68099.140625</v>
      </c>
      <c r="F712" s="781">
        <f t="shared" si="62"/>
        <v>3529805.455729167</v>
      </c>
      <c r="G712" s="728">
        <f t="shared" si="67"/>
        <v>3563855.026041667</v>
      </c>
      <c r="H712" s="786">
        <f>+J695*G712+E712</f>
        <v>465017.2424215544</v>
      </c>
      <c r="I712" s="787">
        <f>+J696*G712+E712</f>
        <v>465017.2424215544</v>
      </c>
      <c r="J712" s="784">
        <f t="shared" si="69"/>
        <v>0</v>
      </c>
      <c r="K712" s="784"/>
      <c r="L712" s="804"/>
      <c r="M712" s="784">
        <f t="shared" si="63"/>
        <v>0</v>
      </c>
      <c r="N712" s="804"/>
      <c r="O712" s="784">
        <f t="shared" si="64"/>
        <v>0</v>
      </c>
      <c r="P712" s="784">
        <f t="shared" si="65"/>
        <v>0</v>
      </c>
    </row>
    <row r="713" spans="3:16" ht="12.75">
      <c r="C713" s="780">
        <f>IF(D694="","-",+C712+1)</f>
        <v>2028</v>
      </c>
      <c r="D713" s="728">
        <f t="shared" si="66"/>
        <v>3529805.455729167</v>
      </c>
      <c r="E713" s="781">
        <f t="shared" si="68"/>
        <v>68099.140625</v>
      </c>
      <c r="F713" s="781">
        <f t="shared" si="62"/>
        <v>3461706.315104167</v>
      </c>
      <c r="G713" s="728">
        <f t="shared" si="67"/>
        <v>3495755.885416667</v>
      </c>
      <c r="H713" s="786">
        <f>+J695*G713+E713</f>
        <v>457432.82009423175</v>
      </c>
      <c r="I713" s="787">
        <f>+J696*G713+E713</f>
        <v>457432.82009423175</v>
      </c>
      <c r="J713" s="784">
        <f t="shared" si="69"/>
        <v>0</v>
      </c>
      <c r="K713" s="784"/>
      <c r="L713" s="804"/>
      <c r="M713" s="784">
        <f t="shared" si="63"/>
        <v>0</v>
      </c>
      <c r="N713" s="804"/>
      <c r="O713" s="784">
        <f t="shared" si="64"/>
        <v>0</v>
      </c>
      <c r="P713" s="784">
        <f t="shared" si="65"/>
        <v>0</v>
      </c>
    </row>
    <row r="714" spans="3:16" ht="12.75">
      <c r="C714" s="780">
        <f>IF(D694="","-",+C713+1)</f>
        <v>2029</v>
      </c>
      <c r="D714" s="728">
        <f t="shared" si="66"/>
        <v>3461706.315104167</v>
      </c>
      <c r="E714" s="781">
        <f t="shared" si="68"/>
        <v>68099.140625</v>
      </c>
      <c r="F714" s="781">
        <f t="shared" si="62"/>
        <v>3393607.174479167</v>
      </c>
      <c r="G714" s="728">
        <f t="shared" si="67"/>
        <v>3427656.744791667</v>
      </c>
      <c r="H714" s="786">
        <f>+J695*G714+E714</f>
        <v>449848.39776690904</v>
      </c>
      <c r="I714" s="787">
        <f>+J696*G714+E714</f>
        <v>449848.39776690904</v>
      </c>
      <c r="J714" s="784">
        <f t="shared" si="69"/>
        <v>0</v>
      </c>
      <c r="K714" s="784"/>
      <c r="L714" s="804"/>
      <c r="M714" s="784">
        <f t="shared" si="63"/>
        <v>0</v>
      </c>
      <c r="N714" s="804"/>
      <c r="O714" s="784">
        <f t="shared" si="64"/>
        <v>0</v>
      </c>
      <c r="P714" s="784">
        <f t="shared" si="65"/>
        <v>0</v>
      </c>
    </row>
    <row r="715" spans="3:16" ht="12.75">
      <c r="C715" s="780">
        <f>IF(D694="","-",+C714+1)</f>
        <v>2030</v>
      </c>
      <c r="D715" s="728">
        <f t="shared" si="66"/>
        <v>3393607.174479167</v>
      </c>
      <c r="E715" s="781">
        <f t="shared" si="68"/>
        <v>68099.140625</v>
      </c>
      <c r="F715" s="781">
        <f t="shared" si="62"/>
        <v>3325508.033854167</v>
      </c>
      <c r="G715" s="728">
        <f t="shared" si="67"/>
        <v>3359557.604166667</v>
      </c>
      <c r="H715" s="786">
        <f>+J695*G715+E715</f>
        <v>442263.9754395863</v>
      </c>
      <c r="I715" s="787">
        <f>+J696*G715+E715</f>
        <v>442263.9754395863</v>
      </c>
      <c r="J715" s="784">
        <f t="shared" si="69"/>
        <v>0</v>
      </c>
      <c r="K715" s="784"/>
      <c r="L715" s="804"/>
      <c r="M715" s="784">
        <f t="shared" si="63"/>
        <v>0</v>
      </c>
      <c r="N715" s="804"/>
      <c r="O715" s="784">
        <f t="shared" si="64"/>
        <v>0</v>
      </c>
      <c r="P715" s="784">
        <f t="shared" si="65"/>
        <v>0</v>
      </c>
    </row>
    <row r="716" spans="3:16" ht="12.75">
      <c r="C716" s="780">
        <f>IF(D694="","-",+C715+1)</f>
        <v>2031</v>
      </c>
      <c r="D716" s="728">
        <f t="shared" si="66"/>
        <v>3325508.033854167</v>
      </c>
      <c r="E716" s="781">
        <f t="shared" si="68"/>
        <v>68099.140625</v>
      </c>
      <c r="F716" s="781">
        <f t="shared" si="62"/>
        <v>3257408.893229167</v>
      </c>
      <c r="G716" s="728">
        <f t="shared" si="67"/>
        <v>3291458.463541667</v>
      </c>
      <c r="H716" s="786">
        <f>+J695*G716+E716</f>
        <v>434679.5531122637</v>
      </c>
      <c r="I716" s="787">
        <f>+J696*G716+E716</f>
        <v>434679.5531122637</v>
      </c>
      <c r="J716" s="784">
        <f t="shared" si="69"/>
        <v>0</v>
      </c>
      <c r="K716" s="784"/>
      <c r="L716" s="804"/>
      <c r="M716" s="784">
        <f t="shared" si="63"/>
        <v>0</v>
      </c>
      <c r="N716" s="804"/>
      <c r="O716" s="784">
        <f t="shared" si="64"/>
        <v>0</v>
      </c>
      <c r="P716" s="784">
        <f t="shared" si="65"/>
        <v>0</v>
      </c>
    </row>
    <row r="717" spans="3:16" ht="12.75">
      <c r="C717" s="780">
        <f>IF(D694="","-",+C716+1)</f>
        <v>2032</v>
      </c>
      <c r="D717" s="728">
        <f t="shared" si="66"/>
        <v>3257408.893229167</v>
      </c>
      <c r="E717" s="781">
        <f t="shared" si="68"/>
        <v>68099.140625</v>
      </c>
      <c r="F717" s="781">
        <f t="shared" si="62"/>
        <v>3189309.752604167</v>
      </c>
      <c r="G717" s="728">
        <f t="shared" si="67"/>
        <v>3223359.322916667</v>
      </c>
      <c r="H717" s="786">
        <f>+J695*G717+E717</f>
        <v>427095.13078494096</v>
      </c>
      <c r="I717" s="787">
        <f>+J696*G717+E717</f>
        <v>427095.13078494096</v>
      </c>
      <c r="J717" s="784">
        <f t="shared" si="69"/>
        <v>0</v>
      </c>
      <c r="K717" s="784"/>
      <c r="L717" s="804"/>
      <c r="M717" s="784">
        <f t="shared" si="63"/>
        <v>0</v>
      </c>
      <c r="N717" s="804"/>
      <c r="O717" s="784">
        <f t="shared" si="64"/>
        <v>0</v>
      </c>
      <c r="P717" s="784">
        <f t="shared" si="65"/>
        <v>0</v>
      </c>
    </row>
    <row r="718" spans="3:16" ht="12.75">
      <c r="C718" s="780">
        <f>IF(D694="","-",+C717+1)</f>
        <v>2033</v>
      </c>
      <c r="D718" s="728">
        <f t="shared" si="66"/>
        <v>3189309.752604167</v>
      </c>
      <c r="E718" s="781">
        <f t="shared" si="68"/>
        <v>68099.140625</v>
      </c>
      <c r="F718" s="781">
        <f t="shared" si="62"/>
        <v>3121210.611979167</v>
      </c>
      <c r="G718" s="728">
        <f t="shared" si="67"/>
        <v>3155260.182291667</v>
      </c>
      <c r="H718" s="786">
        <f>+J695*G718+E718</f>
        <v>419510.70845761825</v>
      </c>
      <c r="I718" s="787">
        <f>+J696*G718+E718</f>
        <v>419510.70845761825</v>
      </c>
      <c r="J718" s="784">
        <f t="shared" si="69"/>
        <v>0</v>
      </c>
      <c r="K718" s="784"/>
      <c r="L718" s="804"/>
      <c r="M718" s="784">
        <f t="shared" si="63"/>
        <v>0</v>
      </c>
      <c r="N718" s="804"/>
      <c r="O718" s="784">
        <f t="shared" si="64"/>
        <v>0</v>
      </c>
      <c r="P718" s="784">
        <f t="shared" si="65"/>
        <v>0</v>
      </c>
    </row>
    <row r="719" spans="3:16" ht="12.75">
      <c r="C719" s="780">
        <f>IF(D694="","-",+C718+1)</f>
        <v>2034</v>
      </c>
      <c r="D719" s="728">
        <f t="shared" si="66"/>
        <v>3121210.611979167</v>
      </c>
      <c r="E719" s="781">
        <f t="shared" si="68"/>
        <v>68099.140625</v>
      </c>
      <c r="F719" s="781">
        <f t="shared" si="62"/>
        <v>3053111.471354167</v>
      </c>
      <c r="G719" s="728">
        <f t="shared" si="67"/>
        <v>3087161.041666667</v>
      </c>
      <c r="H719" s="786">
        <f>+J695*G719+E719</f>
        <v>411926.28613029554</v>
      </c>
      <c r="I719" s="787">
        <f>+J696*G719+E719</f>
        <v>411926.28613029554</v>
      </c>
      <c r="J719" s="784">
        <f t="shared" si="69"/>
        <v>0</v>
      </c>
      <c r="K719" s="784"/>
      <c r="L719" s="804"/>
      <c r="M719" s="784">
        <f t="shared" si="63"/>
        <v>0</v>
      </c>
      <c r="N719" s="804"/>
      <c r="O719" s="784">
        <f t="shared" si="64"/>
        <v>0</v>
      </c>
      <c r="P719" s="784">
        <f t="shared" si="65"/>
        <v>0</v>
      </c>
    </row>
    <row r="720" spans="3:16" ht="12.75">
      <c r="C720" s="780">
        <f>IF(D694="","-",+C719+1)</f>
        <v>2035</v>
      </c>
      <c r="D720" s="728">
        <f t="shared" si="66"/>
        <v>3053111.471354167</v>
      </c>
      <c r="E720" s="781">
        <f t="shared" si="68"/>
        <v>68099.140625</v>
      </c>
      <c r="F720" s="781">
        <f t="shared" si="62"/>
        <v>2985012.330729167</v>
      </c>
      <c r="G720" s="728">
        <f t="shared" si="67"/>
        <v>3019061.901041667</v>
      </c>
      <c r="H720" s="786">
        <f>+J695*G720+E720</f>
        <v>404341.8638029729</v>
      </c>
      <c r="I720" s="787">
        <f>+J696*G720+E720</f>
        <v>404341.8638029729</v>
      </c>
      <c r="J720" s="784">
        <f t="shared" si="69"/>
        <v>0</v>
      </c>
      <c r="K720" s="784"/>
      <c r="L720" s="804"/>
      <c r="M720" s="784">
        <f t="shared" si="63"/>
        <v>0</v>
      </c>
      <c r="N720" s="804"/>
      <c r="O720" s="784">
        <f t="shared" si="64"/>
        <v>0</v>
      </c>
      <c r="P720" s="784">
        <f t="shared" si="65"/>
        <v>0</v>
      </c>
    </row>
    <row r="721" spans="3:16" ht="12.75">
      <c r="C721" s="780">
        <f>IF(D694="","-",+C720+1)</f>
        <v>2036</v>
      </c>
      <c r="D721" s="728">
        <f t="shared" si="66"/>
        <v>2985012.330729167</v>
      </c>
      <c r="E721" s="781">
        <f t="shared" si="68"/>
        <v>68099.140625</v>
      </c>
      <c r="F721" s="781">
        <f t="shared" si="62"/>
        <v>2916913.190104167</v>
      </c>
      <c r="G721" s="728">
        <f t="shared" si="67"/>
        <v>2950962.760416667</v>
      </c>
      <c r="H721" s="786">
        <f>+J695*G721+E721</f>
        <v>396757.4414756502</v>
      </c>
      <c r="I721" s="787">
        <f>+J696*G721+E721</f>
        <v>396757.4414756502</v>
      </c>
      <c r="J721" s="784">
        <f t="shared" si="69"/>
        <v>0</v>
      </c>
      <c r="K721" s="784"/>
      <c r="L721" s="804"/>
      <c r="M721" s="784">
        <f t="shared" si="63"/>
        <v>0</v>
      </c>
      <c r="N721" s="804"/>
      <c r="O721" s="784">
        <f t="shared" si="64"/>
        <v>0</v>
      </c>
      <c r="P721" s="784">
        <f t="shared" si="65"/>
        <v>0</v>
      </c>
    </row>
    <row r="722" spans="3:16" ht="12.75">
      <c r="C722" s="780">
        <f>IF(D694="","-",+C721+1)</f>
        <v>2037</v>
      </c>
      <c r="D722" s="728">
        <f t="shared" si="66"/>
        <v>2916913.190104167</v>
      </c>
      <c r="E722" s="781">
        <f t="shared" si="68"/>
        <v>68099.140625</v>
      </c>
      <c r="F722" s="781">
        <f t="shared" si="62"/>
        <v>2848814.049479167</v>
      </c>
      <c r="G722" s="728">
        <f t="shared" si="67"/>
        <v>2882863.619791667</v>
      </c>
      <c r="H722" s="786">
        <f>+J695*G722+E722</f>
        <v>389173.01914832747</v>
      </c>
      <c r="I722" s="787">
        <f>+J696*G722+E722</f>
        <v>389173.01914832747</v>
      </c>
      <c r="J722" s="784">
        <f t="shared" si="69"/>
        <v>0</v>
      </c>
      <c r="K722" s="784"/>
      <c r="L722" s="804"/>
      <c r="M722" s="784">
        <f t="shared" si="63"/>
        <v>0</v>
      </c>
      <c r="N722" s="804"/>
      <c r="O722" s="784">
        <f t="shared" si="64"/>
        <v>0</v>
      </c>
      <c r="P722" s="784">
        <f t="shared" si="65"/>
        <v>0</v>
      </c>
    </row>
    <row r="723" spans="3:16" ht="12.75">
      <c r="C723" s="780">
        <f>IF(D694="","-",+C722+1)</f>
        <v>2038</v>
      </c>
      <c r="D723" s="728">
        <f t="shared" si="66"/>
        <v>2848814.049479167</v>
      </c>
      <c r="E723" s="781">
        <f t="shared" si="68"/>
        <v>68099.140625</v>
      </c>
      <c r="F723" s="781">
        <f t="shared" si="62"/>
        <v>2780714.908854167</v>
      </c>
      <c r="G723" s="728">
        <f t="shared" si="67"/>
        <v>2814764.479166667</v>
      </c>
      <c r="H723" s="786">
        <f>+J695*G723+E723</f>
        <v>381588.59682100476</v>
      </c>
      <c r="I723" s="787">
        <f>+J696*G723+E723</f>
        <v>381588.59682100476</v>
      </c>
      <c r="J723" s="784">
        <f t="shared" si="69"/>
        <v>0</v>
      </c>
      <c r="K723" s="784"/>
      <c r="L723" s="804"/>
      <c r="M723" s="784">
        <f t="shared" si="63"/>
        <v>0</v>
      </c>
      <c r="N723" s="804"/>
      <c r="O723" s="784">
        <f t="shared" si="64"/>
        <v>0</v>
      </c>
      <c r="P723" s="784">
        <f t="shared" si="65"/>
        <v>0</v>
      </c>
    </row>
    <row r="724" spans="3:16" ht="12.75">
      <c r="C724" s="780">
        <f>IF(D694="","-",+C723+1)</f>
        <v>2039</v>
      </c>
      <c r="D724" s="728">
        <f t="shared" si="66"/>
        <v>2780714.908854167</v>
      </c>
      <c r="E724" s="781">
        <f t="shared" si="68"/>
        <v>68099.140625</v>
      </c>
      <c r="F724" s="781">
        <f t="shared" si="62"/>
        <v>2712615.768229167</v>
      </c>
      <c r="G724" s="728">
        <f t="shared" si="67"/>
        <v>2746665.338541667</v>
      </c>
      <c r="H724" s="786">
        <f>+J695*G724+E724</f>
        <v>374004.1744936821</v>
      </c>
      <c r="I724" s="787">
        <f>+J696*G724+E724</f>
        <v>374004.1744936821</v>
      </c>
      <c r="J724" s="784">
        <f t="shared" si="69"/>
        <v>0</v>
      </c>
      <c r="K724" s="784"/>
      <c r="L724" s="804"/>
      <c r="M724" s="784">
        <f t="shared" si="63"/>
        <v>0</v>
      </c>
      <c r="N724" s="804"/>
      <c r="O724" s="784">
        <f t="shared" si="64"/>
        <v>0</v>
      </c>
      <c r="P724" s="784">
        <f t="shared" si="65"/>
        <v>0</v>
      </c>
    </row>
    <row r="725" spans="3:16" ht="12.75">
      <c r="C725" s="780">
        <f>IF(D694="","-",+C724+1)</f>
        <v>2040</v>
      </c>
      <c r="D725" s="728">
        <f t="shared" si="66"/>
        <v>2712615.768229167</v>
      </c>
      <c r="E725" s="781">
        <f t="shared" si="68"/>
        <v>68099.140625</v>
      </c>
      <c r="F725" s="781">
        <f t="shared" si="62"/>
        <v>2644516.627604167</v>
      </c>
      <c r="G725" s="728">
        <f t="shared" si="67"/>
        <v>2678566.197916667</v>
      </c>
      <c r="H725" s="786">
        <f>+J695*G725+E725</f>
        <v>366419.7521663594</v>
      </c>
      <c r="I725" s="787">
        <f>+J696*G725+E725</f>
        <v>366419.7521663594</v>
      </c>
      <c r="J725" s="784">
        <f t="shared" si="69"/>
        <v>0</v>
      </c>
      <c r="K725" s="784"/>
      <c r="L725" s="804"/>
      <c r="M725" s="784">
        <f t="shared" si="63"/>
        <v>0</v>
      </c>
      <c r="N725" s="804"/>
      <c r="O725" s="784">
        <f t="shared" si="64"/>
        <v>0</v>
      </c>
      <c r="P725" s="784">
        <f t="shared" si="65"/>
        <v>0</v>
      </c>
    </row>
    <row r="726" spans="3:16" ht="12.75">
      <c r="C726" s="780">
        <f>IF(D694="","-",+C725+1)</f>
        <v>2041</v>
      </c>
      <c r="D726" s="728">
        <f t="shared" si="66"/>
        <v>2644516.627604167</v>
      </c>
      <c r="E726" s="781">
        <f t="shared" si="68"/>
        <v>68099.140625</v>
      </c>
      <c r="F726" s="781">
        <f t="shared" si="62"/>
        <v>2576417.486979167</v>
      </c>
      <c r="G726" s="728">
        <f t="shared" si="67"/>
        <v>2610467.057291667</v>
      </c>
      <c r="H726" s="786">
        <f>+J695*G726+E726</f>
        <v>358835.3298390367</v>
      </c>
      <c r="I726" s="787">
        <f>+J696*G726+E726</f>
        <v>358835.3298390367</v>
      </c>
      <c r="J726" s="784">
        <f t="shared" si="69"/>
        <v>0</v>
      </c>
      <c r="K726" s="784"/>
      <c r="L726" s="804"/>
      <c r="M726" s="784">
        <f t="shared" si="63"/>
        <v>0</v>
      </c>
      <c r="N726" s="804"/>
      <c r="O726" s="784">
        <f t="shared" si="64"/>
        <v>0</v>
      </c>
      <c r="P726" s="784">
        <f t="shared" si="65"/>
        <v>0</v>
      </c>
    </row>
    <row r="727" spans="3:16" ht="12.75">
      <c r="C727" s="780">
        <f>IF(D694="","-",+C726+1)</f>
        <v>2042</v>
      </c>
      <c r="D727" s="728">
        <f t="shared" si="66"/>
        <v>2576417.486979167</v>
      </c>
      <c r="E727" s="781">
        <f t="shared" si="68"/>
        <v>68099.140625</v>
      </c>
      <c r="F727" s="781">
        <f t="shared" si="62"/>
        <v>2508318.346354167</v>
      </c>
      <c r="G727" s="728">
        <f t="shared" si="67"/>
        <v>2542367.916666667</v>
      </c>
      <c r="H727" s="786">
        <f>+J695*G727+E727</f>
        <v>351250.907511714</v>
      </c>
      <c r="I727" s="787">
        <f>+J696*G727+E727</f>
        <v>351250.907511714</v>
      </c>
      <c r="J727" s="784">
        <f t="shared" si="69"/>
        <v>0</v>
      </c>
      <c r="K727" s="784"/>
      <c r="L727" s="804"/>
      <c r="M727" s="784">
        <f t="shared" si="63"/>
        <v>0</v>
      </c>
      <c r="N727" s="804"/>
      <c r="O727" s="784">
        <f t="shared" si="64"/>
        <v>0</v>
      </c>
      <c r="P727" s="784">
        <f t="shared" si="65"/>
        <v>0</v>
      </c>
    </row>
    <row r="728" spans="3:16" ht="12.75">
      <c r="C728" s="780">
        <f>IF(D694="","-",+C727+1)</f>
        <v>2043</v>
      </c>
      <c r="D728" s="728">
        <f t="shared" si="66"/>
        <v>2508318.346354167</v>
      </c>
      <c r="E728" s="781">
        <f t="shared" si="68"/>
        <v>68099.140625</v>
      </c>
      <c r="F728" s="781">
        <f t="shared" si="62"/>
        <v>2440219.205729167</v>
      </c>
      <c r="G728" s="728">
        <f t="shared" si="67"/>
        <v>2474268.776041667</v>
      </c>
      <c r="H728" s="786">
        <f>+J695*G728+E728</f>
        <v>343666.4851843913</v>
      </c>
      <c r="I728" s="787">
        <f>+J696*G728+E728</f>
        <v>343666.4851843913</v>
      </c>
      <c r="J728" s="784">
        <f t="shared" si="69"/>
        <v>0</v>
      </c>
      <c r="K728" s="784"/>
      <c r="L728" s="804"/>
      <c r="M728" s="784">
        <f t="shared" si="63"/>
        <v>0</v>
      </c>
      <c r="N728" s="804"/>
      <c r="O728" s="784">
        <f t="shared" si="64"/>
        <v>0</v>
      </c>
      <c r="P728" s="784">
        <f t="shared" si="65"/>
        <v>0</v>
      </c>
    </row>
    <row r="729" spans="3:16" ht="12.75">
      <c r="C729" s="780">
        <f>IF(D694="","-",+C728+1)</f>
        <v>2044</v>
      </c>
      <c r="D729" s="728">
        <f t="shared" si="66"/>
        <v>2440219.205729167</v>
      </c>
      <c r="E729" s="781">
        <f t="shared" si="68"/>
        <v>68099.140625</v>
      </c>
      <c r="F729" s="781">
        <f t="shared" si="62"/>
        <v>2372120.065104167</v>
      </c>
      <c r="G729" s="728">
        <f t="shared" si="67"/>
        <v>2406169.635416667</v>
      </c>
      <c r="H729" s="786">
        <f>+J695*G729+E729</f>
        <v>336082.0628570686</v>
      </c>
      <c r="I729" s="787">
        <f>+J696*G729+E729</f>
        <v>336082.0628570686</v>
      </c>
      <c r="J729" s="784">
        <f t="shared" si="69"/>
        <v>0</v>
      </c>
      <c r="K729" s="784"/>
      <c r="L729" s="804"/>
      <c r="M729" s="784">
        <f t="shared" si="63"/>
        <v>0</v>
      </c>
      <c r="N729" s="804"/>
      <c r="O729" s="784">
        <f t="shared" si="64"/>
        <v>0</v>
      </c>
      <c r="P729" s="784">
        <f t="shared" si="65"/>
        <v>0</v>
      </c>
    </row>
    <row r="730" spans="3:16" ht="12.75">
      <c r="C730" s="780">
        <f>IF(D694="","-",+C729+1)</f>
        <v>2045</v>
      </c>
      <c r="D730" s="728">
        <f t="shared" si="66"/>
        <v>2372120.065104167</v>
      </c>
      <c r="E730" s="781">
        <f t="shared" si="68"/>
        <v>68099.140625</v>
      </c>
      <c r="F730" s="781">
        <f t="shared" si="62"/>
        <v>2304020.924479167</v>
      </c>
      <c r="G730" s="728">
        <f t="shared" si="67"/>
        <v>2338070.494791667</v>
      </c>
      <c r="H730" s="786">
        <f>+J695*G730+E730</f>
        <v>328497.6405297459</v>
      </c>
      <c r="I730" s="787">
        <f>+J696*G730+E730</f>
        <v>328497.6405297459</v>
      </c>
      <c r="J730" s="784">
        <f t="shared" si="69"/>
        <v>0</v>
      </c>
      <c r="K730" s="784"/>
      <c r="L730" s="804"/>
      <c r="M730" s="784">
        <f t="shared" si="63"/>
        <v>0</v>
      </c>
      <c r="N730" s="804"/>
      <c r="O730" s="784">
        <f t="shared" si="64"/>
        <v>0</v>
      </c>
      <c r="P730" s="784">
        <f t="shared" si="65"/>
        <v>0</v>
      </c>
    </row>
    <row r="731" spans="3:16" ht="12.75">
      <c r="C731" s="780">
        <f>IF(D694="","-",+C730+1)</f>
        <v>2046</v>
      </c>
      <c r="D731" s="728">
        <f t="shared" si="66"/>
        <v>2304020.924479167</v>
      </c>
      <c r="E731" s="781">
        <f t="shared" si="68"/>
        <v>68099.140625</v>
      </c>
      <c r="F731" s="781">
        <f t="shared" si="62"/>
        <v>2235921.783854167</v>
      </c>
      <c r="G731" s="728">
        <f t="shared" si="67"/>
        <v>2269971.354166667</v>
      </c>
      <c r="H731" s="786">
        <f>+J695*G731+E731</f>
        <v>320913.2182024232</v>
      </c>
      <c r="I731" s="787">
        <f>+J696*G731+E731</f>
        <v>320913.2182024232</v>
      </c>
      <c r="J731" s="784">
        <f t="shared" si="69"/>
        <v>0</v>
      </c>
      <c r="K731" s="784"/>
      <c r="L731" s="804"/>
      <c r="M731" s="784">
        <f t="shared" si="63"/>
        <v>0</v>
      </c>
      <c r="N731" s="804"/>
      <c r="O731" s="784">
        <f t="shared" si="64"/>
        <v>0</v>
      </c>
      <c r="P731" s="784">
        <f t="shared" si="65"/>
        <v>0</v>
      </c>
    </row>
    <row r="732" spans="3:16" ht="12.75">
      <c r="C732" s="780">
        <f>IF(D694="","-",+C731+1)</f>
        <v>2047</v>
      </c>
      <c r="D732" s="728">
        <f t="shared" si="66"/>
        <v>2235921.783854167</v>
      </c>
      <c r="E732" s="781">
        <f t="shared" si="68"/>
        <v>68099.140625</v>
      </c>
      <c r="F732" s="781">
        <f t="shared" si="62"/>
        <v>2167822.643229167</v>
      </c>
      <c r="G732" s="728">
        <f t="shared" si="67"/>
        <v>2201872.213541667</v>
      </c>
      <c r="H732" s="786">
        <f>+J695*G732+E732</f>
        <v>313328.79587510054</v>
      </c>
      <c r="I732" s="787">
        <f>+J696*G732+E732</f>
        <v>313328.79587510054</v>
      </c>
      <c r="J732" s="784">
        <f t="shared" si="69"/>
        <v>0</v>
      </c>
      <c r="K732" s="784"/>
      <c r="L732" s="804"/>
      <c r="M732" s="784">
        <f t="shared" si="63"/>
        <v>0</v>
      </c>
      <c r="N732" s="804"/>
      <c r="O732" s="784">
        <f t="shared" si="64"/>
        <v>0</v>
      </c>
      <c r="P732" s="784">
        <f t="shared" si="65"/>
        <v>0</v>
      </c>
    </row>
    <row r="733" spans="3:16" ht="12.75">
      <c r="C733" s="780">
        <f>IF(D694="","-",+C732+1)</f>
        <v>2048</v>
      </c>
      <c r="D733" s="728">
        <f t="shared" si="66"/>
        <v>2167822.643229167</v>
      </c>
      <c r="E733" s="781">
        <f t="shared" si="68"/>
        <v>68099.140625</v>
      </c>
      <c r="F733" s="781">
        <f t="shared" si="62"/>
        <v>2099723.502604167</v>
      </c>
      <c r="G733" s="728">
        <f t="shared" si="67"/>
        <v>2133773.072916667</v>
      </c>
      <c r="H733" s="786">
        <f>+J695*G733+E733</f>
        <v>305744.3735477778</v>
      </c>
      <c r="I733" s="787">
        <f>+J696*G733+E733</f>
        <v>305744.3735477778</v>
      </c>
      <c r="J733" s="784">
        <f t="shared" si="69"/>
        <v>0</v>
      </c>
      <c r="K733" s="784"/>
      <c r="L733" s="804"/>
      <c r="M733" s="784">
        <f t="shared" si="63"/>
        <v>0</v>
      </c>
      <c r="N733" s="804"/>
      <c r="O733" s="784">
        <f t="shared" si="64"/>
        <v>0</v>
      </c>
      <c r="P733" s="784">
        <f t="shared" si="65"/>
        <v>0</v>
      </c>
    </row>
    <row r="734" spans="3:16" ht="12.75">
      <c r="C734" s="780">
        <f>IF(D694="","-",+C733+1)</f>
        <v>2049</v>
      </c>
      <c r="D734" s="728">
        <f t="shared" si="66"/>
        <v>2099723.502604167</v>
      </c>
      <c r="E734" s="781">
        <f t="shared" si="68"/>
        <v>68099.140625</v>
      </c>
      <c r="F734" s="781">
        <f t="shared" si="62"/>
        <v>2031624.361979167</v>
      </c>
      <c r="G734" s="728">
        <f t="shared" si="67"/>
        <v>2065673.932291667</v>
      </c>
      <c r="H734" s="786">
        <f>+J695*G734+E734</f>
        <v>298159.9512204551</v>
      </c>
      <c r="I734" s="787">
        <f>+J696*G734+E734</f>
        <v>298159.9512204551</v>
      </c>
      <c r="J734" s="784">
        <f t="shared" si="69"/>
        <v>0</v>
      </c>
      <c r="K734" s="784"/>
      <c r="L734" s="804"/>
      <c r="M734" s="784">
        <f t="shared" si="63"/>
        <v>0</v>
      </c>
      <c r="N734" s="804"/>
      <c r="O734" s="784">
        <f t="shared" si="64"/>
        <v>0</v>
      </c>
      <c r="P734" s="784">
        <f t="shared" si="65"/>
        <v>0</v>
      </c>
    </row>
    <row r="735" spans="3:16" ht="12.75">
      <c r="C735" s="780">
        <f>IF(D694="","-",+C734+1)</f>
        <v>2050</v>
      </c>
      <c r="D735" s="728">
        <f t="shared" si="66"/>
        <v>2031624.361979167</v>
      </c>
      <c r="E735" s="781">
        <f t="shared" si="68"/>
        <v>68099.140625</v>
      </c>
      <c r="F735" s="781">
        <f t="shared" si="62"/>
        <v>1963525.221354167</v>
      </c>
      <c r="G735" s="728">
        <f t="shared" si="67"/>
        <v>1997574.791666667</v>
      </c>
      <c r="H735" s="786">
        <f>+J695*G735+E735</f>
        <v>290575.52889313246</v>
      </c>
      <c r="I735" s="787">
        <f>+J696*G735+E735</f>
        <v>290575.52889313246</v>
      </c>
      <c r="J735" s="784">
        <f t="shared" si="69"/>
        <v>0</v>
      </c>
      <c r="K735" s="784"/>
      <c r="L735" s="804"/>
      <c r="M735" s="784">
        <f t="shared" si="63"/>
        <v>0</v>
      </c>
      <c r="N735" s="804"/>
      <c r="O735" s="784">
        <f t="shared" si="64"/>
        <v>0</v>
      </c>
      <c r="P735" s="784">
        <f t="shared" si="65"/>
        <v>0</v>
      </c>
    </row>
    <row r="736" spans="3:16" ht="12.75">
      <c r="C736" s="780">
        <f>IF(D694="","-",+C735+1)</f>
        <v>2051</v>
      </c>
      <c r="D736" s="728">
        <f t="shared" si="66"/>
        <v>1963525.221354167</v>
      </c>
      <c r="E736" s="781">
        <f t="shared" si="68"/>
        <v>68099.140625</v>
      </c>
      <c r="F736" s="781">
        <f t="shared" si="62"/>
        <v>1895426.080729167</v>
      </c>
      <c r="G736" s="728">
        <f t="shared" si="67"/>
        <v>1929475.651041667</v>
      </c>
      <c r="H736" s="786">
        <f>+J695*G736+E736</f>
        <v>282991.10656580975</v>
      </c>
      <c r="I736" s="787">
        <f>+J696*G736+E736</f>
        <v>282991.10656580975</v>
      </c>
      <c r="J736" s="784">
        <f t="shared" si="69"/>
        <v>0</v>
      </c>
      <c r="K736" s="784"/>
      <c r="L736" s="804"/>
      <c r="M736" s="784">
        <f t="shared" si="63"/>
        <v>0</v>
      </c>
      <c r="N736" s="804"/>
      <c r="O736" s="784">
        <f t="shared" si="64"/>
        <v>0</v>
      </c>
      <c r="P736" s="784">
        <f t="shared" si="65"/>
        <v>0</v>
      </c>
    </row>
    <row r="737" spans="3:16" ht="12.75">
      <c r="C737" s="780">
        <f>IF(D694="","-",+C736+1)</f>
        <v>2052</v>
      </c>
      <c r="D737" s="728">
        <f t="shared" si="66"/>
        <v>1895426.080729167</v>
      </c>
      <c r="E737" s="781">
        <f t="shared" si="68"/>
        <v>68099.140625</v>
      </c>
      <c r="F737" s="781">
        <f t="shared" si="62"/>
        <v>1827326.940104167</v>
      </c>
      <c r="G737" s="728">
        <f t="shared" si="67"/>
        <v>1861376.510416667</v>
      </c>
      <c r="H737" s="786">
        <f>+J695*G737+E737</f>
        <v>275406.68423848704</v>
      </c>
      <c r="I737" s="787">
        <f>+J696*G737+E737</f>
        <v>275406.68423848704</v>
      </c>
      <c r="J737" s="784">
        <f t="shared" si="69"/>
        <v>0</v>
      </c>
      <c r="K737" s="784"/>
      <c r="L737" s="804"/>
      <c r="M737" s="784">
        <f t="shared" si="63"/>
        <v>0</v>
      </c>
      <c r="N737" s="804"/>
      <c r="O737" s="784">
        <f t="shared" si="64"/>
        <v>0</v>
      </c>
      <c r="P737" s="784">
        <f t="shared" si="65"/>
        <v>0</v>
      </c>
    </row>
    <row r="738" spans="3:16" ht="12.75">
      <c r="C738" s="780">
        <f>IF(D694="","-",+C737+1)</f>
        <v>2053</v>
      </c>
      <c r="D738" s="728">
        <f t="shared" si="66"/>
        <v>1827326.940104167</v>
      </c>
      <c r="E738" s="781">
        <f t="shared" si="68"/>
        <v>68099.140625</v>
      </c>
      <c r="F738" s="781">
        <f t="shared" si="62"/>
        <v>1759227.799479167</v>
      </c>
      <c r="G738" s="728">
        <f t="shared" si="67"/>
        <v>1793277.369791667</v>
      </c>
      <c r="H738" s="786">
        <f>+J695*G738+E738</f>
        <v>267822.2619111644</v>
      </c>
      <c r="I738" s="787">
        <f>+J696*G738+E738</f>
        <v>267822.2619111644</v>
      </c>
      <c r="J738" s="784">
        <f t="shared" si="69"/>
        <v>0</v>
      </c>
      <c r="K738" s="784"/>
      <c r="L738" s="804"/>
      <c r="M738" s="784">
        <f t="shared" si="63"/>
        <v>0</v>
      </c>
      <c r="N738" s="804"/>
      <c r="O738" s="784">
        <f t="shared" si="64"/>
        <v>0</v>
      </c>
      <c r="P738" s="784">
        <f t="shared" si="65"/>
        <v>0</v>
      </c>
    </row>
    <row r="739" spans="3:16" ht="12.75">
      <c r="C739" s="780">
        <f>IF(D694="","-",+C738+1)</f>
        <v>2054</v>
      </c>
      <c r="D739" s="728">
        <f t="shared" si="66"/>
        <v>1759227.799479167</v>
      </c>
      <c r="E739" s="781">
        <f t="shared" si="68"/>
        <v>68099.140625</v>
      </c>
      <c r="F739" s="781">
        <f t="shared" si="62"/>
        <v>1691128.658854167</v>
      </c>
      <c r="G739" s="728">
        <f t="shared" si="67"/>
        <v>1725178.229166667</v>
      </c>
      <c r="H739" s="786">
        <f>+J695*G739+E739</f>
        <v>260237.83958384165</v>
      </c>
      <c r="I739" s="787">
        <f>+J696*G739+E739</f>
        <v>260237.83958384165</v>
      </c>
      <c r="J739" s="784">
        <f t="shared" si="69"/>
        <v>0</v>
      </c>
      <c r="K739" s="784"/>
      <c r="L739" s="804"/>
      <c r="M739" s="784">
        <f t="shared" si="63"/>
        <v>0</v>
      </c>
      <c r="N739" s="804"/>
      <c r="O739" s="784">
        <f t="shared" si="64"/>
        <v>0</v>
      </c>
      <c r="P739" s="784">
        <f t="shared" si="65"/>
        <v>0</v>
      </c>
    </row>
    <row r="740" spans="3:16" ht="12.75">
      <c r="C740" s="780">
        <f>IF(D694="","-",+C739+1)</f>
        <v>2055</v>
      </c>
      <c r="D740" s="728">
        <f t="shared" si="66"/>
        <v>1691128.658854167</v>
      </c>
      <c r="E740" s="781">
        <f t="shared" si="68"/>
        <v>68099.140625</v>
      </c>
      <c r="F740" s="781">
        <f t="shared" si="62"/>
        <v>1623029.518229167</v>
      </c>
      <c r="G740" s="728">
        <f t="shared" si="67"/>
        <v>1657079.088541667</v>
      </c>
      <c r="H740" s="786">
        <f>+J695*G740+E740</f>
        <v>252653.41725651897</v>
      </c>
      <c r="I740" s="787">
        <f>+J696*G740+E740</f>
        <v>252653.41725651897</v>
      </c>
      <c r="J740" s="784">
        <f t="shared" si="69"/>
        <v>0</v>
      </c>
      <c r="K740" s="784"/>
      <c r="L740" s="804"/>
      <c r="M740" s="784">
        <f t="shared" si="63"/>
        <v>0</v>
      </c>
      <c r="N740" s="804"/>
      <c r="O740" s="784">
        <f t="shared" si="64"/>
        <v>0</v>
      </c>
      <c r="P740" s="784">
        <f t="shared" si="65"/>
        <v>0</v>
      </c>
    </row>
    <row r="741" spans="3:16" ht="12.75">
      <c r="C741" s="780">
        <f>IF(D694="","-",+C740+1)</f>
        <v>2056</v>
      </c>
      <c r="D741" s="728">
        <f t="shared" si="66"/>
        <v>1623029.518229167</v>
      </c>
      <c r="E741" s="781">
        <f t="shared" si="68"/>
        <v>68099.140625</v>
      </c>
      <c r="F741" s="781">
        <f t="shared" si="62"/>
        <v>1554930.377604167</v>
      </c>
      <c r="G741" s="728">
        <f t="shared" si="67"/>
        <v>1588979.947916667</v>
      </c>
      <c r="H741" s="786">
        <f>+J695*G741+E741</f>
        <v>245068.99492919625</v>
      </c>
      <c r="I741" s="787">
        <f>+J696*G741+E741</f>
        <v>245068.99492919625</v>
      </c>
      <c r="J741" s="784">
        <f t="shared" si="69"/>
        <v>0</v>
      </c>
      <c r="K741" s="784"/>
      <c r="L741" s="804"/>
      <c r="M741" s="784">
        <f t="shared" si="63"/>
        <v>0</v>
      </c>
      <c r="N741" s="804"/>
      <c r="O741" s="784">
        <f t="shared" si="64"/>
        <v>0</v>
      </c>
      <c r="P741" s="784">
        <f t="shared" si="65"/>
        <v>0</v>
      </c>
    </row>
    <row r="742" spans="3:16" ht="12.75">
      <c r="C742" s="780">
        <f>IF(D694="","-",+C741+1)</f>
        <v>2057</v>
      </c>
      <c r="D742" s="728">
        <f t="shared" si="66"/>
        <v>1554930.377604167</v>
      </c>
      <c r="E742" s="781">
        <f t="shared" si="68"/>
        <v>68099.140625</v>
      </c>
      <c r="F742" s="781">
        <f t="shared" si="62"/>
        <v>1486831.236979167</v>
      </c>
      <c r="G742" s="728">
        <f t="shared" si="67"/>
        <v>1520880.807291667</v>
      </c>
      <c r="H742" s="786">
        <f>+J695*G742+E742</f>
        <v>237484.57260187357</v>
      </c>
      <c r="I742" s="787">
        <f>+J696*G742+E742</f>
        <v>237484.57260187357</v>
      </c>
      <c r="J742" s="784">
        <f t="shared" si="69"/>
        <v>0</v>
      </c>
      <c r="K742" s="784"/>
      <c r="L742" s="804"/>
      <c r="M742" s="784">
        <f t="shared" si="63"/>
        <v>0</v>
      </c>
      <c r="N742" s="804"/>
      <c r="O742" s="784">
        <f t="shared" si="64"/>
        <v>0</v>
      </c>
      <c r="P742" s="784">
        <f t="shared" si="65"/>
        <v>0</v>
      </c>
    </row>
    <row r="743" spans="3:16" ht="12.75">
      <c r="C743" s="780">
        <f>IF(D694="","-",+C742+1)</f>
        <v>2058</v>
      </c>
      <c r="D743" s="728">
        <f t="shared" si="66"/>
        <v>1486831.236979167</v>
      </c>
      <c r="E743" s="781">
        <f t="shared" si="68"/>
        <v>68099.140625</v>
      </c>
      <c r="F743" s="781">
        <f t="shared" si="62"/>
        <v>1418732.096354167</v>
      </c>
      <c r="G743" s="728">
        <f t="shared" si="67"/>
        <v>1452781.666666667</v>
      </c>
      <c r="H743" s="786">
        <f>+J695*G743+E743</f>
        <v>229900.15027455086</v>
      </c>
      <c r="I743" s="787">
        <f>+J696*G743+E743</f>
        <v>229900.15027455086</v>
      </c>
      <c r="J743" s="784">
        <f t="shared" si="69"/>
        <v>0</v>
      </c>
      <c r="K743" s="784"/>
      <c r="L743" s="804"/>
      <c r="M743" s="784">
        <f t="shared" si="63"/>
        <v>0</v>
      </c>
      <c r="N743" s="804"/>
      <c r="O743" s="784">
        <f t="shared" si="64"/>
        <v>0</v>
      </c>
      <c r="P743" s="784">
        <f t="shared" si="65"/>
        <v>0</v>
      </c>
    </row>
    <row r="744" spans="3:16" ht="12.75">
      <c r="C744" s="780">
        <f>IF(D694="","-",+C743+1)</f>
        <v>2059</v>
      </c>
      <c r="D744" s="728">
        <f t="shared" si="66"/>
        <v>1418732.096354167</v>
      </c>
      <c r="E744" s="781">
        <f t="shared" si="68"/>
        <v>68099.140625</v>
      </c>
      <c r="F744" s="781">
        <f t="shared" si="62"/>
        <v>1350632.955729167</v>
      </c>
      <c r="G744" s="728">
        <f t="shared" si="67"/>
        <v>1384682.526041667</v>
      </c>
      <c r="H744" s="786">
        <f>+J695*G744+E744</f>
        <v>222315.72794722818</v>
      </c>
      <c r="I744" s="787">
        <f>+J696*G744+E744</f>
        <v>222315.72794722818</v>
      </c>
      <c r="J744" s="784">
        <f t="shared" si="69"/>
        <v>0</v>
      </c>
      <c r="K744" s="784"/>
      <c r="L744" s="804"/>
      <c r="M744" s="784">
        <f t="shared" si="63"/>
        <v>0</v>
      </c>
      <c r="N744" s="804"/>
      <c r="O744" s="784">
        <f t="shared" si="64"/>
        <v>0</v>
      </c>
      <c r="P744" s="784">
        <f t="shared" si="65"/>
        <v>0</v>
      </c>
    </row>
    <row r="745" spans="3:16" ht="12.75">
      <c r="C745" s="780">
        <f>IF(D694="","-",+C744+1)</f>
        <v>2060</v>
      </c>
      <c r="D745" s="728">
        <f t="shared" si="66"/>
        <v>1350632.955729167</v>
      </c>
      <c r="E745" s="781">
        <f t="shared" si="68"/>
        <v>68099.140625</v>
      </c>
      <c r="F745" s="781">
        <f t="shared" si="62"/>
        <v>1282533.815104167</v>
      </c>
      <c r="G745" s="728">
        <f t="shared" si="67"/>
        <v>1316583.385416667</v>
      </c>
      <c r="H745" s="786">
        <f>+J695*G745+E745</f>
        <v>214731.30561990547</v>
      </c>
      <c r="I745" s="787">
        <f>+J696*G745+E745</f>
        <v>214731.30561990547</v>
      </c>
      <c r="J745" s="784">
        <f t="shared" si="69"/>
        <v>0</v>
      </c>
      <c r="K745" s="784"/>
      <c r="L745" s="804"/>
      <c r="M745" s="784">
        <f t="shared" si="63"/>
        <v>0</v>
      </c>
      <c r="N745" s="804"/>
      <c r="O745" s="784">
        <f t="shared" si="64"/>
        <v>0</v>
      </c>
      <c r="P745" s="784">
        <f t="shared" si="65"/>
        <v>0</v>
      </c>
    </row>
    <row r="746" spans="3:16" ht="12.75">
      <c r="C746" s="780">
        <f>IF(D694="","-",+C745+1)</f>
        <v>2061</v>
      </c>
      <c r="D746" s="728">
        <f t="shared" si="66"/>
        <v>1282533.815104167</v>
      </c>
      <c r="E746" s="781">
        <f t="shared" si="68"/>
        <v>68099.140625</v>
      </c>
      <c r="F746" s="781">
        <f t="shared" si="62"/>
        <v>1214434.674479167</v>
      </c>
      <c r="G746" s="728">
        <f t="shared" si="67"/>
        <v>1248484.244791667</v>
      </c>
      <c r="H746" s="786">
        <f>+J695*G746+E746</f>
        <v>207146.8832925828</v>
      </c>
      <c r="I746" s="787">
        <f>+J696*G746+E746</f>
        <v>207146.8832925828</v>
      </c>
      <c r="J746" s="784">
        <f t="shared" si="69"/>
        <v>0</v>
      </c>
      <c r="K746" s="784"/>
      <c r="L746" s="804"/>
      <c r="M746" s="784">
        <f t="shared" si="63"/>
        <v>0</v>
      </c>
      <c r="N746" s="804"/>
      <c r="O746" s="784">
        <f t="shared" si="64"/>
        <v>0</v>
      </c>
      <c r="P746" s="784">
        <f t="shared" si="65"/>
        <v>0</v>
      </c>
    </row>
    <row r="747" spans="3:16" ht="12.75">
      <c r="C747" s="780">
        <f>IF(D694="","-",+C746+1)</f>
        <v>2062</v>
      </c>
      <c r="D747" s="728">
        <f t="shared" si="66"/>
        <v>1214434.674479167</v>
      </c>
      <c r="E747" s="781">
        <f t="shared" si="68"/>
        <v>68099.140625</v>
      </c>
      <c r="F747" s="781">
        <f t="shared" si="62"/>
        <v>1146335.533854167</v>
      </c>
      <c r="G747" s="728">
        <f t="shared" si="67"/>
        <v>1180385.104166667</v>
      </c>
      <c r="H747" s="786">
        <f>+J695*G747+E747</f>
        <v>199562.46096526008</v>
      </c>
      <c r="I747" s="787">
        <f>+J696*G747+E747</f>
        <v>199562.46096526008</v>
      </c>
      <c r="J747" s="784">
        <f t="shared" si="69"/>
        <v>0</v>
      </c>
      <c r="K747" s="784"/>
      <c r="L747" s="804"/>
      <c r="M747" s="784">
        <f t="shared" si="63"/>
        <v>0</v>
      </c>
      <c r="N747" s="804"/>
      <c r="O747" s="784">
        <f t="shared" si="64"/>
        <v>0</v>
      </c>
      <c r="P747" s="784">
        <f t="shared" si="65"/>
        <v>0</v>
      </c>
    </row>
    <row r="748" spans="3:16" ht="12.75">
      <c r="C748" s="780">
        <f>IF(D694="","-",+C747+1)</f>
        <v>2063</v>
      </c>
      <c r="D748" s="728">
        <f t="shared" si="66"/>
        <v>1146335.533854167</v>
      </c>
      <c r="E748" s="781">
        <f t="shared" si="68"/>
        <v>68099.140625</v>
      </c>
      <c r="F748" s="781">
        <f t="shared" si="62"/>
        <v>1078236.393229167</v>
      </c>
      <c r="G748" s="728">
        <f t="shared" si="67"/>
        <v>1112285.963541667</v>
      </c>
      <c r="H748" s="786">
        <f>+J695*G748+E748</f>
        <v>191978.0386379374</v>
      </c>
      <c r="I748" s="787">
        <f>+J696*G748+E748</f>
        <v>191978.0386379374</v>
      </c>
      <c r="J748" s="784">
        <f t="shared" si="69"/>
        <v>0</v>
      </c>
      <c r="K748" s="784"/>
      <c r="L748" s="804"/>
      <c r="M748" s="784">
        <f t="shared" si="63"/>
        <v>0</v>
      </c>
      <c r="N748" s="804"/>
      <c r="O748" s="784">
        <f t="shared" si="64"/>
        <v>0</v>
      </c>
      <c r="P748" s="784">
        <f t="shared" si="65"/>
        <v>0</v>
      </c>
    </row>
    <row r="749" spans="3:16" ht="12.75">
      <c r="C749" s="780">
        <f>IF(D694="","-",+C748+1)</f>
        <v>2064</v>
      </c>
      <c r="D749" s="728">
        <f t="shared" si="66"/>
        <v>1078236.393229167</v>
      </c>
      <c r="E749" s="781">
        <f t="shared" si="68"/>
        <v>68099.140625</v>
      </c>
      <c r="F749" s="781">
        <f t="shared" si="62"/>
        <v>1010137.252604167</v>
      </c>
      <c r="G749" s="728">
        <f t="shared" si="67"/>
        <v>1044186.822916667</v>
      </c>
      <c r="H749" s="786">
        <f>+J695*G749+E749</f>
        <v>184393.61631061469</v>
      </c>
      <c r="I749" s="787">
        <f>+J696*G749+E749</f>
        <v>184393.61631061469</v>
      </c>
      <c r="J749" s="784">
        <f t="shared" si="69"/>
        <v>0</v>
      </c>
      <c r="K749" s="784"/>
      <c r="L749" s="804"/>
      <c r="M749" s="784">
        <f t="shared" si="63"/>
        <v>0</v>
      </c>
      <c r="N749" s="804"/>
      <c r="O749" s="784">
        <f t="shared" si="64"/>
        <v>0</v>
      </c>
      <c r="P749" s="784">
        <f t="shared" si="65"/>
        <v>0</v>
      </c>
    </row>
    <row r="750" spans="3:16" ht="12.75">
      <c r="C750" s="780">
        <f>IF(D694="","-",+C749+1)</f>
        <v>2065</v>
      </c>
      <c r="D750" s="728">
        <f t="shared" si="66"/>
        <v>1010137.252604167</v>
      </c>
      <c r="E750" s="781">
        <f t="shared" si="68"/>
        <v>68099.140625</v>
      </c>
      <c r="F750" s="781">
        <f t="shared" si="62"/>
        <v>942038.111979167</v>
      </c>
      <c r="G750" s="728">
        <f t="shared" si="67"/>
        <v>976087.682291667</v>
      </c>
      <c r="H750" s="786">
        <f>+J695*G750+E750</f>
        <v>176809.193983292</v>
      </c>
      <c r="I750" s="787">
        <f>+J696*G750+E750</f>
        <v>176809.193983292</v>
      </c>
      <c r="J750" s="784">
        <f t="shared" si="69"/>
        <v>0</v>
      </c>
      <c r="K750" s="784"/>
      <c r="L750" s="804"/>
      <c r="M750" s="784">
        <f t="shared" si="63"/>
        <v>0</v>
      </c>
      <c r="N750" s="804"/>
      <c r="O750" s="784">
        <f t="shared" si="64"/>
        <v>0</v>
      </c>
      <c r="P750" s="784">
        <f t="shared" si="65"/>
        <v>0</v>
      </c>
    </row>
    <row r="751" spans="3:16" ht="12.75">
      <c r="C751" s="780">
        <f>IF(D694="","-",+C750+1)</f>
        <v>2066</v>
      </c>
      <c r="D751" s="728">
        <f t="shared" si="66"/>
        <v>942038.111979167</v>
      </c>
      <c r="E751" s="781">
        <f t="shared" si="68"/>
        <v>68099.140625</v>
      </c>
      <c r="F751" s="781">
        <f t="shared" si="62"/>
        <v>873938.971354167</v>
      </c>
      <c r="G751" s="728">
        <f t="shared" si="67"/>
        <v>907988.541666667</v>
      </c>
      <c r="H751" s="786">
        <f>+J695*G751+E751</f>
        <v>169224.77165596932</v>
      </c>
      <c r="I751" s="787">
        <f>+J696*G751+E751</f>
        <v>169224.77165596932</v>
      </c>
      <c r="J751" s="784">
        <f t="shared" si="69"/>
        <v>0</v>
      </c>
      <c r="K751" s="784"/>
      <c r="L751" s="804"/>
      <c r="M751" s="784">
        <f t="shared" si="63"/>
        <v>0</v>
      </c>
      <c r="N751" s="804"/>
      <c r="O751" s="784">
        <f t="shared" si="64"/>
        <v>0</v>
      </c>
      <c r="P751" s="784">
        <f t="shared" si="65"/>
        <v>0</v>
      </c>
    </row>
    <row r="752" spans="3:16" ht="12.75">
      <c r="C752" s="780">
        <f>IF(D694="","-",+C751+1)</f>
        <v>2067</v>
      </c>
      <c r="D752" s="728">
        <f t="shared" si="66"/>
        <v>873938.971354167</v>
      </c>
      <c r="E752" s="781">
        <f t="shared" si="68"/>
        <v>68099.140625</v>
      </c>
      <c r="F752" s="781">
        <f t="shared" si="62"/>
        <v>805839.830729167</v>
      </c>
      <c r="G752" s="728">
        <f t="shared" si="67"/>
        <v>839889.401041667</v>
      </c>
      <c r="H752" s="786">
        <f>+J695*G752+E752</f>
        <v>161640.3493286466</v>
      </c>
      <c r="I752" s="787">
        <f>+J696*G752+E752</f>
        <v>161640.3493286466</v>
      </c>
      <c r="J752" s="784">
        <f t="shared" si="69"/>
        <v>0</v>
      </c>
      <c r="K752" s="784"/>
      <c r="L752" s="804"/>
      <c r="M752" s="784">
        <f t="shared" si="63"/>
        <v>0</v>
      </c>
      <c r="N752" s="804"/>
      <c r="O752" s="784">
        <f t="shared" si="64"/>
        <v>0</v>
      </c>
      <c r="P752" s="784">
        <f t="shared" si="65"/>
        <v>0</v>
      </c>
    </row>
    <row r="753" spans="3:16" ht="12.75">
      <c r="C753" s="780">
        <f>IF(D694="","-",+C752+1)</f>
        <v>2068</v>
      </c>
      <c r="D753" s="728">
        <f t="shared" si="66"/>
        <v>805839.830729167</v>
      </c>
      <c r="E753" s="781">
        <f t="shared" si="68"/>
        <v>68099.140625</v>
      </c>
      <c r="F753" s="781">
        <f t="shared" si="62"/>
        <v>737740.690104167</v>
      </c>
      <c r="G753" s="728">
        <f t="shared" si="67"/>
        <v>771790.260416667</v>
      </c>
      <c r="H753" s="786">
        <f>+J695*G753+E753</f>
        <v>154055.9270013239</v>
      </c>
      <c r="I753" s="787">
        <f>+J696*G753+E753</f>
        <v>154055.9270013239</v>
      </c>
      <c r="J753" s="784">
        <f t="shared" si="69"/>
        <v>0</v>
      </c>
      <c r="K753" s="784"/>
      <c r="L753" s="804"/>
      <c r="M753" s="784">
        <f t="shared" si="63"/>
        <v>0</v>
      </c>
      <c r="N753" s="804"/>
      <c r="O753" s="784">
        <f t="shared" si="64"/>
        <v>0</v>
      </c>
      <c r="P753" s="784">
        <f t="shared" si="65"/>
        <v>0</v>
      </c>
    </row>
    <row r="754" spans="3:16" ht="12.75">
      <c r="C754" s="780">
        <f>IF(D694="","-",+C753+1)</f>
        <v>2069</v>
      </c>
      <c r="D754" s="728">
        <f aca="true" t="shared" si="70" ref="D754:D759">F753</f>
        <v>737740.690104167</v>
      </c>
      <c r="E754" s="781">
        <f t="shared" si="68"/>
        <v>68099.140625</v>
      </c>
      <c r="F754" s="781">
        <f t="shared" si="62"/>
        <v>669641.549479167</v>
      </c>
      <c r="G754" s="728">
        <f t="shared" si="67"/>
        <v>703691.119791667</v>
      </c>
      <c r="H754" s="786">
        <f>+J695*G754+E754</f>
        <v>146471.50467400122</v>
      </c>
      <c r="I754" s="787">
        <f>+J696*G754+E754</f>
        <v>146471.50467400122</v>
      </c>
      <c r="J754" s="784">
        <f t="shared" si="69"/>
        <v>0</v>
      </c>
      <c r="K754" s="784"/>
      <c r="L754" s="804"/>
      <c r="M754" s="784">
        <f t="shared" si="63"/>
        <v>0</v>
      </c>
      <c r="N754" s="804"/>
      <c r="O754" s="784">
        <f t="shared" si="64"/>
        <v>0</v>
      </c>
      <c r="P754" s="784">
        <f t="shared" si="65"/>
        <v>0</v>
      </c>
    </row>
    <row r="755" spans="3:16" ht="12.75">
      <c r="C755" s="780">
        <f>IF(D694="","-",+C754+1)</f>
        <v>2070</v>
      </c>
      <c r="D755" s="728">
        <f t="shared" si="70"/>
        <v>669641.549479167</v>
      </c>
      <c r="E755" s="781">
        <f t="shared" si="68"/>
        <v>68099.140625</v>
      </c>
      <c r="F755" s="781">
        <f t="shared" si="62"/>
        <v>601542.408854167</v>
      </c>
      <c r="G755" s="728">
        <f t="shared" si="67"/>
        <v>635591.979166667</v>
      </c>
      <c r="H755" s="786">
        <f>+J695*G755+E755</f>
        <v>138887.08234667854</v>
      </c>
      <c r="I755" s="787">
        <f>+J696*G755+E755</f>
        <v>138887.08234667854</v>
      </c>
      <c r="J755" s="784">
        <f t="shared" si="69"/>
        <v>0</v>
      </c>
      <c r="K755" s="784"/>
      <c r="L755" s="804"/>
      <c r="M755" s="784">
        <f t="shared" si="63"/>
        <v>0</v>
      </c>
      <c r="N755" s="804"/>
      <c r="O755" s="784">
        <f t="shared" si="64"/>
        <v>0</v>
      </c>
      <c r="P755" s="784">
        <f t="shared" si="65"/>
        <v>0</v>
      </c>
    </row>
    <row r="756" spans="3:16" ht="12.75">
      <c r="C756" s="780">
        <f>IF(D694="","-",+C755+1)</f>
        <v>2071</v>
      </c>
      <c r="D756" s="728">
        <f t="shared" si="70"/>
        <v>601542.408854167</v>
      </c>
      <c r="E756" s="781">
        <f t="shared" si="68"/>
        <v>68099.140625</v>
      </c>
      <c r="F756" s="781">
        <f t="shared" si="62"/>
        <v>533443.268229167</v>
      </c>
      <c r="G756" s="728">
        <f t="shared" si="67"/>
        <v>567492.838541667</v>
      </c>
      <c r="H756" s="786">
        <f>+J695*G756+E756</f>
        <v>131302.66001935583</v>
      </c>
      <c r="I756" s="787">
        <f>+J696*G756+E756</f>
        <v>131302.66001935583</v>
      </c>
      <c r="J756" s="784">
        <f t="shared" si="69"/>
        <v>0</v>
      </c>
      <c r="K756" s="784"/>
      <c r="L756" s="804"/>
      <c r="M756" s="784">
        <f t="shared" si="63"/>
        <v>0</v>
      </c>
      <c r="N756" s="804"/>
      <c r="O756" s="784">
        <f t="shared" si="64"/>
        <v>0</v>
      </c>
      <c r="P756" s="784">
        <f t="shared" si="65"/>
        <v>0</v>
      </c>
    </row>
    <row r="757" spans="3:16" ht="12.75">
      <c r="C757" s="780">
        <f>IF(D694="","-",+C756+1)</f>
        <v>2072</v>
      </c>
      <c r="D757" s="728">
        <f t="shared" si="70"/>
        <v>533443.268229167</v>
      </c>
      <c r="E757" s="781">
        <f t="shared" si="68"/>
        <v>68099.140625</v>
      </c>
      <c r="F757" s="781">
        <f t="shared" si="62"/>
        <v>465344.127604167</v>
      </c>
      <c r="G757" s="728">
        <f t="shared" si="67"/>
        <v>499393.697916667</v>
      </c>
      <c r="H757" s="786">
        <f>+J695*G757+E757</f>
        <v>123718.23769203314</v>
      </c>
      <c r="I757" s="787">
        <f>+J696*G757+E757</f>
        <v>123718.23769203314</v>
      </c>
      <c r="J757" s="784">
        <f t="shared" si="69"/>
        <v>0</v>
      </c>
      <c r="K757" s="784"/>
      <c r="L757" s="804"/>
      <c r="M757" s="784">
        <f t="shared" si="63"/>
        <v>0</v>
      </c>
      <c r="N757" s="804"/>
      <c r="O757" s="784">
        <f t="shared" si="64"/>
        <v>0</v>
      </c>
      <c r="P757" s="784">
        <f t="shared" si="65"/>
        <v>0</v>
      </c>
    </row>
    <row r="758" spans="3:16" ht="12.75">
      <c r="C758" s="780">
        <f>IF(D694="","-",+C757+1)</f>
        <v>2073</v>
      </c>
      <c r="D758" s="728">
        <f t="shared" si="70"/>
        <v>465344.127604167</v>
      </c>
      <c r="E758" s="781">
        <f t="shared" si="68"/>
        <v>68099.140625</v>
      </c>
      <c r="F758" s="781">
        <f t="shared" si="62"/>
        <v>397244.986979167</v>
      </c>
      <c r="G758" s="728">
        <f t="shared" si="67"/>
        <v>431294.557291667</v>
      </c>
      <c r="H758" s="786">
        <f>+J695*G758+E758</f>
        <v>116133.81536471043</v>
      </c>
      <c r="I758" s="787">
        <f>+J696*G758+E758</f>
        <v>116133.81536471043</v>
      </c>
      <c r="J758" s="784">
        <f t="shared" si="69"/>
        <v>0</v>
      </c>
      <c r="K758" s="784"/>
      <c r="L758" s="804"/>
      <c r="M758" s="784">
        <f t="shared" si="63"/>
        <v>0</v>
      </c>
      <c r="N758" s="804"/>
      <c r="O758" s="784">
        <f t="shared" si="64"/>
        <v>0</v>
      </c>
      <c r="P758" s="784">
        <f t="shared" si="65"/>
        <v>0</v>
      </c>
    </row>
    <row r="759" spans="3:16" ht="13.5" thickBot="1">
      <c r="C759" s="790">
        <f>IF(D694="","-",+C758+1)</f>
        <v>2074</v>
      </c>
      <c r="D759" s="791">
        <f t="shared" si="70"/>
        <v>397244.986979167</v>
      </c>
      <c r="E759" s="781">
        <f t="shared" si="68"/>
        <v>68099.140625</v>
      </c>
      <c r="F759" s="792">
        <f t="shared" si="62"/>
        <v>329145.846354167</v>
      </c>
      <c r="G759" s="791">
        <f t="shared" si="67"/>
        <v>363195.416666667</v>
      </c>
      <c r="H759" s="793">
        <f>+J695*G759+E759</f>
        <v>108549.39303738775</v>
      </c>
      <c r="I759" s="793">
        <f>+J696*G759+E759</f>
        <v>108549.39303738775</v>
      </c>
      <c r="J759" s="794">
        <f t="shared" si="69"/>
        <v>0</v>
      </c>
      <c r="K759" s="784"/>
      <c r="L759" s="805"/>
      <c r="M759" s="794">
        <f t="shared" si="63"/>
        <v>0</v>
      </c>
      <c r="N759" s="805"/>
      <c r="O759" s="794">
        <f t="shared" si="64"/>
        <v>0</v>
      </c>
      <c r="P759" s="794">
        <f t="shared" si="65"/>
        <v>0</v>
      </c>
    </row>
    <row r="760" spans="3:15" ht="12.75">
      <c r="C760" s="728" t="s">
        <v>92</v>
      </c>
      <c r="D760" s="722"/>
      <c r="E760" s="722">
        <f>SUM(E700:E759)</f>
        <v>4029199.153645833</v>
      </c>
      <c r="F760" s="722"/>
      <c r="G760" s="722"/>
      <c r="H760" s="722">
        <f>SUM(H700:H759)</f>
        <v>19877481.641780555</v>
      </c>
      <c r="I760" s="722">
        <f>SUM(I700:I759)</f>
        <v>19877481.641780555</v>
      </c>
      <c r="J760" s="722">
        <f>SUM(J700:J759)</f>
        <v>0</v>
      </c>
      <c r="K760" s="722"/>
      <c r="L760" s="722"/>
      <c r="M760" s="722"/>
      <c r="N760" s="722"/>
      <c r="O760" s="722"/>
    </row>
    <row r="761" spans="4:15" ht="12.75">
      <c r="D761" s="532"/>
      <c r="E761" s="308"/>
      <c r="F761" s="308"/>
      <c r="G761" s="308"/>
      <c r="H761" s="308"/>
      <c r="I761" s="701"/>
      <c r="J761" s="701"/>
      <c r="K761" s="722"/>
      <c r="L761" s="701"/>
      <c r="M761" s="701"/>
      <c r="N761" s="701"/>
      <c r="O761" s="701"/>
    </row>
    <row r="762" spans="3:15" ht="12.75">
      <c r="C762" s="308" t="s">
        <v>14</v>
      </c>
      <c r="D762" s="532"/>
      <c r="E762" s="308"/>
      <c r="F762" s="308"/>
      <c r="G762" s="308"/>
      <c r="H762" s="308"/>
      <c r="I762" s="701"/>
      <c r="J762" s="701"/>
      <c r="K762" s="722"/>
      <c r="L762" s="701"/>
      <c r="M762" s="701"/>
      <c r="N762" s="701"/>
      <c r="O762" s="701"/>
    </row>
    <row r="763" spans="3:15" ht="12.75">
      <c r="C763" s="308"/>
      <c r="D763" s="532"/>
      <c r="E763" s="308"/>
      <c r="F763" s="308"/>
      <c r="G763" s="308"/>
      <c r="H763" s="308"/>
      <c r="I763" s="701"/>
      <c r="J763" s="701"/>
      <c r="K763" s="722"/>
      <c r="L763" s="701"/>
      <c r="M763" s="701"/>
      <c r="N763" s="701"/>
      <c r="O763" s="701"/>
    </row>
    <row r="764" spans="3:15" ht="12.75">
      <c r="C764" s="741" t="s">
        <v>15</v>
      </c>
      <c r="D764" s="728"/>
      <c r="E764" s="728"/>
      <c r="F764" s="728"/>
      <c r="G764" s="728"/>
      <c r="H764" s="722"/>
      <c r="I764" s="722"/>
      <c r="J764" s="796"/>
      <c r="K764" s="796"/>
      <c r="L764" s="796"/>
      <c r="M764" s="796"/>
      <c r="N764" s="796"/>
      <c r="O764" s="796"/>
    </row>
    <row r="765" spans="3:15" ht="12.75">
      <c r="C765" s="727" t="s">
        <v>272</v>
      </c>
      <c r="D765" s="728"/>
      <c r="E765" s="728"/>
      <c r="F765" s="728"/>
      <c r="G765" s="728"/>
      <c r="H765" s="722"/>
      <c r="I765" s="722"/>
      <c r="J765" s="796"/>
      <c r="K765" s="796"/>
      <c r="L765" s="796"/>
      <c r="M765" s="796"/>
      <c r="N765" s="796"/>
      <c r="O765" s="796"/>
    </row>
    <row r="766" spans="3:15" ht="12.75">
      <c r="C766" s="727" t="s">
        <v>93</v>
      </c>
      <c r="D766" s="728"/>
      <c r="E766" s="728"/>
      <c r="F766" s="728"/>
      <c r="G766" s="728"/>
      <c r="H766" s="722"/>
      <c r="I766" s="722"/>
      <c r="J766" s="796"/>
      <c r="K766" s="796"/>
      <c r="L766" s="796"/>
      <c r="M766" s="796"/>
      <c r="N766" s="796"/>
      <c r="O766" s="796"/>
    </row>
    <row r="767" spans="1:17" ht="20.25">
      <c r="A767" s="729" t="str">
        <f>""&amp;A692&amp;" Worksheet K -  ATRR TRUE-UP Calculation for PJM Projects Charged to Benefiting Zones"</f>
        <v> Worksheet K -  ATRR TRUE-UP Calculation for PJM Projects Charged to Benefiting Zones</v>
      </c>
      <c r="B767" s="341"/>
      <c r="C767" s="717"/>
      <c r="D767" s="532"/>
      <c r="E767" s="308"/>
      <c r="F767" s="700"/>
      <c r="G767" s="700"/>
      <c r="H767" s="308"/>
      <c r="I767" s="701"/>
      <c r="L767" s="557"/>
      <c r="M767" s="557"/>
      <c r="N767" s="557"/>
      <c r="O767" s="646" t="str">
        <f>"Page "&amp;SUM(Q$6:Q767)&amp;" of "</f>
        <v>Page 10 of </v>
      </c>
      <c r="P767" s="647">
        <f>COUNT(Q$6:Q$58387)</f>
        <v>12</v>
      </c>
      <c r="Q767" s="730">
        <v>1</v>
      </c>
    </row>
    <row r="768" spans="2:11" ht="12.75">
      <c r="B768" s="341"/>
      <c r="C768" s="308"/>
      <c r="D768" s="532"/>
      <c r="E768" s="308"/>
      <c r="F768" s="308"/>
      <c r="G768" s="308"/>
      <c r="H768" s="308"/>
      <c r="I768" s="701"/>
      <c r="J768" s="308"/>
      <c r="K768" s="420"/>
    </row>
    <row r="769" spans="2:17" ht="18">
      <c r="B769" s="650" t="s">
        <v>475</v>
      </c>
      <c r="C769" s="731" t="s">
        <v>94</v>
      </c>
      <c r="D769" s="532"/>
      <c r="E769" s="308"/>
      <c r="F769" s="308"/>
      <c r="G769" s="308"/>
      <c r="H769" s="308"/>
      <c r="I769" s="701"/>
      <c r="J769" s="701"/>
      <c r="K769" s="722"/>
      <c r="L769" s="701"/>
      <c r="M769" s="701"/>
      <c r="N769" s="701"/>
      <c r="O769" s="701"/>
      <c r="Q769" s="420"/>
    </row>
    <row r="770" spans="2:15" ht="18.75">
      <c r="B770" s="650"/>
      <c r="C770" s="649"/>
      <c r="D770" s="532"/>
      <c r="E770" s="308"/>
      <c r="F770" s="308"/>
      <c r="G770" s="308"/>
      <c r="H770" s="308"/>
      <c r="I770" s="701"/>
      <c r="J770" s="701"/>
      <c r="K770" s="722"/>
      <c r="L770" s="701"/>
      <c r="M770" s="701"/>
      <c r="N770" s="701"/>
      <c r="O770" s="701"/>
    </row>
    <row r="771" spans="2:15" ht="18.75">
      <c r="B771" s="650"/>
      <c r="C771" s="649" t="s">
        <v>95</v>
      </c>
      <c r="D771" s="532"/>
      <c r="E771" s="308"/>
      <c r="F771" s="308"/>
      <c r="G771" s="308"/>
      <c r="H771" s="308"/>
      <c r="I771" s="701"/>
      <c r="J771" s="701"/>
      <c r="K771" s="722"/>
      <c r="L771" s="701"/>
      <c r="M771" s="701"/>
      <c r="N771" s="701"/>
      <c r="O771" s="701"/>
    </row>
    <row r="772" spans="3:15" ht="15.75" thickBot="1">
      <c r="C772" s="236"/>
      <c r="D772" s="532"/>
      <c r="E772" s="308"/>
      <c r="F772" s="308"/>
      <c r="G772" s="308"/>
      <c r="H772" s="308"/>
      <c r="I772" s="701"/>
      <c r="J772" s="701"/>
      <c r="K772" s="722"/>
      <c r="L772" s="701"/>
      <c r="M772" s="701"/>
      <c r="N772" s="701"/>
      <c r="O772" s="701"/>
    </row>
    <row r="773" spans="3:15" ht="15.75">
      <c r="C773" s="652" t="s">
        <v>96</v>
      </c>
      <c r="D773" s="532"/>
      <c r="E773" s="308"/>
      <c r="F773" s="308"/>
      <c r="G773" s="308"/>
      <c r="H773" s="798"/>
      <c r="I773" s="308" t="s">
        <v>75</v>
      </c>
      <c r="J773" s="308"/>
      <c r="K773" s="420"/>
      <c r="L773" s="827">
        <f>+J779</f>
        <v>2017</v>
      </c>
      <c r="M773" s="808" t="s">
        <v>53</v>
      </c>
      <c r="N773" s="808" t="s">
        <v>54</v>
      </c>
      <c r="O773" s="809" t="s">
        <v>56</v>
      </c>
    </row>
    <row r="774" spans="3:15" ht="15.75">
      <c r="C774" s="652"/>
      <c r="D774" s="532"/>
      <c r="E774" s="308"/>
      <c r="F774" s="308"/>
      <c r="H774" s="308"/>
      <c r="I774" s="736"/>
      <c r="J774" s="736"/>
      <c r="K774" s="737"/>
      <c r="L774" s="828" t="s">
        <v>244</v>
      </c>
      <c r="M774" s="829">
        <f>VLOOKUP(J779,C786:P845,10)</f>
        <v>281554</v>
      </c>
      <c r="N774" s="829">
        <f>VLOOKUP(J779,C786:P845,12)</f>
        <v>281554</v>
      </c>
      <c r="O774" s="830">
        <f>+N774-M774</f>
        <v>0</v>
      </c>
    </row>
    <row r="775" spans="3:15" ht="12.75" customHeight="1">
      <c r="C775" s="741" t="s">
        <v>97</v>
      </c>
      <c r="D775" s="1472" t="s">
        <v>921</v>
      </c>
      <c r="E775" s="1472"/>
      <c r="F775" s="1472"/>
      <c r="G775" s="1472"/>
      <c r="H775" s="1472"/>
      <c r="I775" s="1472"/>
      <c r="J775" s="1472"/>
      <c r="K775" s="722"/>
      <c r="L775" s="828" t="s">
        <v>245</v>
      </c>
      <c r="M775" s="831">
        <f>VLOOKUP(J779,C786:P845,6)</f>
        <v>268643.13949714904</v>
      </c>
      <c r="N775" s="831">
        <f>VLOOKUP(J779,C786:P845,7)</f>
        <v>268643.13949714904</v>
      </c>
      <c r="O775" s="832">
        <f>+N775-M775</f>
        <v>0</v>
      </c>
    </row>
    <row r="776" spans="3:15" ht="13.5" thickBot="1">
      <c r="C776" s="745"/>
      <c r="D776" s="1472"/>
      <c r="E776" s="1472"/>
      <c r="F776" s="1472"/>
      <c r="G776" s="1472"/>
      <c r="H776" s="1472"/>
      <c r="I776" s="1472"/>
      <c r="J776" s="1472"/>
      <c r="K776" s="722"/>
      <c r="L776" s="764" t="s">
        <v>246</v>
      </c>
      <c r="M776" s="833">
        <f>+M775-M774</f>
        <v>-12910.860502850963</v>
      </c>
      <c r="N776" s="833">
        <f>+N775-N774</f>
        <v>-12910.860502850963</v>
      </c>
      <c r="O776" s="834">
        <f>+O775-O774</f>
        <v>0</v>
      </c>
    </row>
    <row r="777" spans="3:16" ht="13.5" thickBot="1">
      <c r="C777" s="748"/>
      <c r="D777" s="749"/>
      <c r="E777" s="747"/>
      <c r="F777" s="747"/>
      <c r="G777" s="747"/>
      <c r="H777" s="747"/>
      <c r="I777" s="747"/>
      <c r="J777" s="747"/>
      <c r="K777" s="750"/>
      <c r="L777" s="747"/>
      <c r="M777" s="747"/>
      <c r="N777" s="747"/>
      <c r="O777" s="747"/>
      <c r="P777" s="341"/>
    </row>
    <row r="778" spans="3:16" ht="13.5" thickBot="1">
      <c r="C778" s="751" t="s">
        <v>98</v>
      </c>
      <c r="D778" s="752"/>
      <c r="E778" s="752"/>
      <c r="F778" s="752"/>
      <c r="G778" s="752"/>
      <c r="H778" s="752"/>
      <c r="I778" s="752"/>
      <c r="J778" s="752"/>
      <c r="K778" s="754"/>
      <c r="P778" s="755"/>
    </row>
    <row r="779" spans="3:16" ht="15">
      <c r="C779" s="756" t="s">
        <v>76</v>
      </c>
      <c r="D779" s="1379">
        <v>2198161</v>
      </c>
      <c r="E779" s="717" t="s">
        <v>77</v>
      </c>
      <c r="H779" s="757"/>
      <c r="I779" s="757"/>
      <c r="J779" s="758">
        <v>2017</v>
      </c>
      <c r="K779" s="548"/>
      <c r="L779" s="1462" t="s">
        <v>78</v>
      </c>
      <c r="M779" s="1462"/>
      <c r="N779" s="1462"/>
      <c r="O779" s="1462"/>
      <c r="P779" s="420"/>
    </row>
    <row r="780" spans="3:16" ht="12.75">
      <c r="C780" s="756" t="s">
        <v>79</v>
      </c>
      <c r="D780" s="1380">
        <v>2014</v>
      </c>
      <c r="E780" s="756" t="s">
        <v>80</v>
      </c>
      <c r="F780" s="757"/>
      <c r="G780" s="757"/>
      <c r="I780" s="169"/>
      <c r="J780" s="802">
        <f>IF(H773="",0,$F$15)</f>
        <v>0</v>
      </c>
      <c r="K780" s="759"/>
      <c r="L780" s="722" t="s">
        <v>286</v>
      </c>
      <c r="P780" s="420"/>
    </row>
    <row r="781" spans="3:16" ht="12.75">
      <c r="C781" s="756" t="s">
        <v>81</v>
      </c>
      <c r="D781" s="1379">
        <v>9</v>
      </c>
      <c r="E781" s="756" t="s">
        <v>82</v>
      </c>
      <c r="F781" s="757"/>
      <c r="G781" s="757"/>
      <c r="I781" s="169"/>
      <c r="J781" s="760">
        <f>$F$68</f>
        <v>0.11137324579597359</v>
      </c>
      <c r="K781" s="761"/>
      <c r="L781" s="308" t="str">
        <f>"          INPUT TRUE-UP ARR (WITH &amp; WITHOUT INCENTIVES) FROM EACH PRIOR YEAR"</f>
        <v>          INPUT TRUE-UP ARR (WITH &amp; WITHOUT INCENTIVES) FROM EACH PRIOR YEAR</v>
      </c>
      <c r="P781" s="420"/>
    </row>
    <row r="782" spans="3:16" ht="12.75">
      <c r="C782" s="756" t="s">
        <v>83</v>
      </c>
      <c r="D782" s="762">
        <f>H$77</f>
        <v>64</v>
      </c>
      <c r="E782" s="756" t="s">
        <v>84</v>
      </c>
      <c r="F782" s="757"/>
      <c r="G782" s="757"/>
      <c r="I782" s="169"/>
      <c r="J782" s="760">
        <f>IF(H773="",+J781,$F$67)</f>
        <v>0.11137324579597359</v>
      </c>
      <c r="K782" s="763"/>
      <c r="L782" s="308" t="s">
        <v>166</v>
      </c>
      <c r="M782" s="763"/>
      <c r="N782" s="763"/>
      <c r="O782" s="763"/>
      <c r="P782" s="420"/>
    </row>
    <row r="783" spans="3:16" ht="13.5" thickBot="1">
      <c r="C783" s="756" t="s">
        <v>85</v>
      </c>
      <c r="D783" s="799" t="s">
        <v>877</v>
      </c>
      <c r="E783" s="764" t="s">
        <v>86</v>
      </c>
      <c r="F783" s="765"/>
      <c r="G783" s="765"/>
      <c r="H783" s="766"/>
      <c r="I783" s="766"/>
      <c r="J783" s="744">
        <f>IF(D779=0,0,D779/D782)</f>
        <v>34346.265625</v>
      </c>
      <c r="K783" s="722"/>
      <c r="L783" s="722" t="s">
        <v>167</v>
      </c>
      <c r="M783" s="722"/>
      <c r="N783" s="722"/>
      <c r="O783" s="722"/>
      <c r="P783" s="420"/>
    </row>
    <row r="784" spans="2:16" ht="38.25">
      <c r="B784" s="837"/>
      <c r="C784" s="767" t="s">
        <v>76</v>
      </c>
      <c r="D784" s="768" t="s">
        <v>87</v>
      </c>
      <c r="E784" s="769" t="s">
        <v>88</v>
      </c>
      <c r="F784" s="768" t="s">
        <v>89</v>
      </c>
      <c r="G784" s="768" t="s">
        <v>247</v>
      </c>
      <c r="H784" s="769" t="s">
        <v>160</v>
      </c>
      <c r="I784" s="770" t="s">
        <v>160</v>
      </c>
      <c r="J784" s="767" t="s">
        <v>99</v>
      </c>
      <c r="K784" s="771"/>
      <c r="L784" s="769" t="s">
        <v>162</v>
      </c>
      <c r="M784" s="769" t="s">
        <v>168</v>
      </c>
      <c r="N784" s="769" t="s">
        <v>162</v>
      </c>
      <c r="O784" s="769" t="s">
        <v>170</v>
      </c>
      <c r="P784" s="769" t="s">
        <v>90</v>
      </c>
    </row>
    <row r="785" spans="3:16" ht="13.5" thickBot="1">
      <c r="C785" s="773" t="s">
        <v>478</v>
      </c>
      <c r="D785" s="774" t="s">
        <v>479</v>
      </c>
      <c r="E785" s="773" t="s">
        <v>372</v>
      </c>
      <c r="F785" s="774" t="s">
        <v>479</v>
      </c>
      <c r="G785" s="774" t="s">
        <v>479</v>
      </c>
      <c r="H785" s="775" t="s">
        <v>102</v>
      </c>
      <c r="I785" s="776" t="s">
        <v>104</v>
      </c>
      <c r="J785" s="777" t="s">
        <v>16</v>
      </c>
      <c r="K785" s="778"/>
      <c r="L785" s="775" t="s">
        <v>91</v>
      </c>
      <c r="M785" s="775" t="s">
        <v>91</v>
      </c>
      <c r="N785" s="775" t="s">
        <v>264</v>
      </c>
      <c r="O785" s="775" t="s">
        <v>264</v>
      </c>
      <c r="P785" s="775" t="s">
        <v>264</v>
      </c>
    </row>
    <row r="786" spans="3:16" ht="12.75">
      <c r="C786" s="1308">
        <f>IF(D780="","-",D780)</f>
        <v>2014</v>
      </c>
      <c r="D786" s="728">
        <f>+D779</f>
        <v>2198161</v>
      </c>
      <c r="E786" s="786">
        <f>+J783/12*(12-D781)</f>
        <v>8586.56640625</v>
      </c>
      <c r="F786" s="835">
        <f aca="true" t="shared" si="71" ref="F786:F845">+D786-E786</f>
        <v>2189574.43359375</v>
      </c>
      <c r="G786" s="728">
        <f>+(D786+F786)/2</f>
        <v>2193867.716796875</v>
      </c>
      <c r="H786" s="782">
        <f>+J781*G786+E786</f>
        <v>252924.73487291974</v>
      </c>
      <c r="I786" s="783">
        <f>+J782*G786+E786</f>
        <v>252924.73487291974</v>
      </c>
      <c r="J786" s="784">
        <f>+I786-H786</f>
        <v>0</v>
      </c>
      <c r="K786" s="784"/>
      <c r="L786" s="803">
        <v>0</v>
      </c>
      <c r="M786" s="836">
        <f aca="true" t="shared" si="72" ref="M786:M845">IF(L786&lt;&gt;0,+H786-L786,0)</f>
        <v>0</v>
      </c>
      <c r="N786" s="803">
        <v>0</v>
      </c>
      <c r="O786" s="836">
        <f aca="true" t="shared" si="73" ref="O786:O845">IF(N786&lt;&gt;0,+I786-N786,0)</f>
        <v>0</v>
      </c>
      <c r="P786" s="836">
        <f aca="true" t="shared" si="74" ref="P786:P845">+O786-M786</f>
        <v>0</v>
      </c>
    </row>
    <row r="787" spans="3:16" ht="12.75">
      <c r="C787" s="1308">
        <f>IF(D780="","-",+C786+1)</f>
        <v>2015</v>
      </c>
      <c r="D787" s="728">
        <f aca="true" t="shared" si="75" ref="D787:D839">F786</f>
        <v>2189574.43359375</v>
      </c>
      <c r="E787" s="781">
        <f>IF(D787&gt;$J$783,$J$783,D787)</f>
        <v>34346.265625</v>
      </c>
      <c r="F787" s="781">
        <f t="shared" si="71"/>
        <v>2155228.16796875</v>
      </c>
      <c r="G787" s="728">
        <f aca="true" t="shared" si="76" ref="G787:G845">+(D787+F787)/2</f>
        <v>2172401.30078125</v>
      </c>
      <c r="H787" s="786">
        <f>+J781*G787+E787</f>
        <v>276293.64966440294</v>
      </c>
      <c r="I787" s="787">
        <f>+J782*G787+E787</f>
        <v>276293.64966440294</v>
      </c>
      <c r="J787" s="784">
        <f>+I787-H787</f>
        <v>0</v>
      </c>
      <c r="K787" s="784"/>
      <c r="L787" s="804">
        <v>0</v>
      </c>
      <c r="M787" s="784">
        <f t="shared" si="72"/>
        <v>0</v>
      </c>
      <c r="N787" s="804">
        <v>0</v>
      </c>
      <c r="O787" s="784">
        <f t="shared" si="73"/>
        <v>0</v>
      </c>
      <c r="P787" s="784">
        <f t="shared" si="74"/>
        <v>0</v>
      </c>
    </row>
    <row r="788" spans="3:16" ht="12.75">
      <c r="C788" s="780">
        <f>IF(D780="","-",+C787+1)</f>
        <v>2016</v>
      </c>
      <c r="D788" s="728">
        <f t="shared" si="75"/>
        <v>2155228.16796875</v>
      </c>
      <c r="E788" s="781">
        <f aca="true" t="shared" si="77" ref="E788:E845">IF(D788&gt;$J$783,$J$783,D788)</f>
        <v>34346.265625</v>
      </c>
      <c r="F788" s="781">
        <f t="shared" si="71"/>
        <v>2120881.90234375</v>
      </c>
      <c r="G788" s="728">
        <f t="shared" si="76"/>
        <v>2138055.03515625</v>
      </c>
      <c r="H788" s="786">
        <f>+J781*G788+E788</f>
        <v>272468.394580776</v>
      </c>
      <c r="I788" s="787">
        <f>+J782*G788+E788</f>
        <v>272468.394580776</v>
      </c>
      <c r="J788" s="784">
        <f aca="true" t="shared" si="78" ref="J788:J845">+I788-H788</f>
        <v>0</v>
      </c>
      <c r="K788" s="784"/>
      <c r="L788" s="804">
        <v>1188</v>
      </c>
      <c r="M788" s="784">
        <f t="shared" si="72"/>
        <v>271280.394580776</v>
      </c>
      <c r="N788" s="804">
        <v>1188</v>
      </c>
      <c r="O788" s="784">
        <f t="shared" si="73"/>
        <v>271280.394580776</v>
      </c>
      <c r="P788" s="784">
        <f t="shared" si="74"/>
        <v>0</v>
      </c>
    </row>
    <row r="789" spans="3:16" ht="12.75">
      <c r="C789" s="1321">
        <f>IF(D780="","-",+C788+1)</f>
        <v>2017</v>
      </c>
      <c r="D789" s="728">
        <f t="shared" si="75"/>
        <v>2120881.90234375</v>
      </c>
      <c r="E789" s="781">
        <f t="shared" si="77"/>
        <v>34346.265625</v>
      </c>
      <c r="F789" s="781">
        <f t="shared" si="71"/>
        <v>2086535.63671875</v>
      </c>
      <c r="G789" s="728">
        <f t="shared" si="76"/>
        <v>2103708.76953125</v>
      </c>
      <c r="H789" s="786">
        <f>+J781*G789+E789</f>
        <v>268643.13949714904</v>
      </c>
      <c r="I789" s="787">
        <f>+J782*G789+E789</f>
        <v>268643.13949714904</v>
      </c>
      <c r="J789" s="784">
        <f t="shared" si="78"/>
        <v>0</v>
      </c>
      <c r="K789" s="784"/>
      <c r="L789" s="804">
        <v>281554</v>
      </c>
      <c r="M789" s="784">
        <f t="shared" si="72"/>
        <v>-12910.860502850963</v>
      </c>
      <c r="N789" s="804">
        <v>281554</v>
      </c>
      <c r="O789" s="784">
        <f t="shared" si="73"/>
        <v>-12910.860502850963</v>
      </c>
      <c r="P789" s="784">
        <f t="shared" si="74"/>
        <v>0</v>
      </c>
    </row>
    <row r="790" spans="3:16" ht="12.75">
      <c r="C790" s="1308">
        <f>IF(D780="","-",+C789+1)</f>
        <v>2018</v>
      </c>
      <c r="D790" s="728">
        <f t="shared" si="75"/>
        <v>2086535.63671875</v>
      </c>
      <c r="E790" s="781">
        <f t="shared" si="77"/>
        <v>34346.265625</v>
      </c>
      <c r="F790" s="781">
        <f t="shared" si="71"/>
        <v>2052189.37109375</v>
      </c>
      <c r="G790" s="728">
        <f t="shared" si="76"/>
        <v>2069362.50390625</v>
      </c>
      <c r="H790" s="786">
        <f>+J781*G790+E790</f>
        <v>264817.88441352214</v>
      </c>
      <c r="I790" s="787">
        <f>+J782*G790+E790</f>
        <v>264817.88441352214</v>
      </c>
      <c r="J790" s="784">
        <f t="shared" si="78"/>
        <v>0</v>
      </c>
      <c r="K790" s="784"/>
      <c r="L790" s="804"/>
      <c r="M790" s="784">
        <f t="shared" si="72"/>
        <v>0</v>
      </c>
      <c r="N790" s="804"/>
      <c r="O790" s="784">
        <f t="shared" si="73"/>
        <v>0</v>
      </c>
      <c r="P790" s="784">
        <f t="shared" si="74"/>
        <v>0</v>
      </c>
    </row>
    <row r="791" spans="3:16" ht="12.75">
      <c r="C791" s="780">
        <f>IF(D780="","-",+C790+1)</f>
        <v>2019</v>
      </c>
      <c r="D791" s="728">
        <f t="shared" si="75"/>
        <v>2052189.37109375</v>
      </c>
      <c r="E791" s="781">
        <f t="shared" si="77"/>
        <v>34346.265625</v>
      </c>
      <c r="F791" s="781">
        <f t="shared" si="71"/>
        <v>2017843.10546875</v>
      </c>
      <c r="G791" s="728">
        <f t="shared" si="76"/>
        <v>2035016.23828125</v>
      </c>
      <c r="H791" s="786">
        <f>+J781*G791+E791</f>
        <v>260992.62932989522</v>
      </c>
      <c r="I791" s="787">
        <f>+J782*G791+E791</f>
        <v>260992.62932989522</v>
      </c>
      <c r="J791" s="784">
        <f t="shared" si="78"/>
        <v>0</v>
      </c>
      <c r="K791" s="784"/>
      <c r="L791" s="804"/>
      <c r="M791" s="784">
        <f t="shared" si="72"/>
        <v>0</v>
      </c>
      <c r="N791" s="804"/>
      <c r="O791" s="784">
        <f t="shared" si="73"/>
        <v>0</v>
      </c>
      <c r="P791" s="784">
        <f t="shared" si="74"/>
        <v>0</v>
      </c>
    </row>
    <row r="792" spans="3:16" ht="12.75">
      <c r="C792" s="780">
        <f>IF(D780="","-",+C791+1)</f>
        <v>2020</v>
      </c>
      <c r="D792" s="728">
        <f t="shared" si="75"/>
        <v>2017843.10546875</v>
      </c>
      <c r="E792" s="781">
        <f t="shared" si="77"/>
        <v>34346.265625</v>
      </c>
      <c r="F792" s="781">
        <f t="shared" si="71"/>
        <v>1983496.83984375</v>
      </c>
      <c r="G792" s="728">
        <f t="shared" si="76"/>
        <v>2000669.97265625</v>
      </c>
      <c r="H792" s="786">
        <f>+J781*G792+E792</f>
        <v>257167.3742462683</v>
      </c>
      <c r="I792" s="787">
        <f>+J782*G792+E792</f>
        <v>257167.3742462683</v>
      </c>
      <c r="J792" s="784">
        <f t="shared" si="78"/>
        <v>0</v>
      </c>
      <c r="K792" s="784"/>
      <c r="L792" s="804"/>
      <c r="M792" s="784">
        <f t="shared" si="72"/>
        <v>0</v>
      </c>
      <c r="N792" s="804"/>
      <c r="O792" s="784">
        <f t="shared" si="73"/>
        <v>0</v>
      </c>
      <c r="P792" s="784">
        <f t="shared" si="74"/>
        <v>0</v>
      </c>
    </row>
    <row r="793" spans="3:16" ht="12.75">
      <c r="C793" s="780">
        <f>IF(D780="","-",+C792+1)</f>
        <v>2021</v>
      </c>
      <c r="D793" s="728">
        <f t="shared" si="75"/>
        <v>1983496.83984375</v>
      </c>
      <c r="E793" s="781">
        <f t="shared" si="77"/>
        <v>34346.265625</v>
      </c>
      <c r="F793" s="781">
        <f t="shared" si="71"/>
        <v>1949150.57421875</v>
      </c>
      <c r="G793" s="728">
        <f t="shared" si="76"/>
        <v>1966323.70703125</v>
      </c>
      <c r="H793" s="786">
        <f>+J781*G793+E793</f>
        <v>253342.11916264138</v>
      </c>
      <c r="I793" s="787">
        <f>+J782*G793+E793</f>
        <v>253342.11916264138</v>
      </c>
      <c r="J793" s="784">
        <f t="shared" si="78"/>
        <v>0</v>
      </c>
      <c r="K793" s="784"/>
      <c r="L793" s="804"/>
      <c r="M793" s="784">
        <f t="shared" si="72"/>
        <v>0</v>
      </c>
      <c r="N793" s="804"/>
      <c r="O793" s="784">
        <f t="shared" si="73"/>
        <v>0</v>
      </c>
      <c r="P793" s="784">
        <f t="shared" si="74"/>
        <v>0</v>
      </c>
    </row>
    <row r="794" spans="3:16" ht="12.75">
      <c r="C794" s="780">
        <f>IF(D780="","-",+C793+1)</f>
        <v>2022</v>
      </c>
      <c r="D794" s="728">
        <f t="shared" si="75"/>
        <v>1949150.57421875</v>
      </c>
      <c r="E794" s="781">
        <f t="shared" si="77"/>
        <v>34346.265625</v>
      </c>
      <c r="F794" s="781">
        <f t="shared" si="71"/>
        <v>1914804.30859375</v>
      </c>
      <c r="G794" s="728">
        <f t="shared" si="76"/>
        <v>1931977.44140625</v>
      </c>
      <c r="H794" s="786">
        <f>+J781*G794+E794</f>
        <v>249516.86407901446</v>
      </c>
      <c r="I794" s="787">
        <f>+J782*G794+E794</f>
        <v>249516.86407901446</v>
      </c>
      <c r="J794" s="784">
        <f t="shared" si="78"/>
        <v>0</v>
      </c>
      <c r="K794" s="784"/>
      <c r="L794" s="804"/>
      <c r="M794" s="784">
        <f t="shared" si="72"/>
        <v>0</v>
      </c>
      <c r="N794" s="804"/>
      <c r="O794" s="784">
        <f t="shared" si="73"/>
        <v>0</v>
      </c>
      <c r="P794" s="784">
        <f t="shared" si="74"/>
        <v>0</v>
      </c>
    </row>
    <row r="795" spans="3:16" ht="12.75">
      <c r="C795" s="780">
        <f>IF(D780="","-",+C794+1)</f>
        <v>2023</v>
      </c>
      <c r="D795" s="728">
        <f t="shared" si="75"/>
        <v>1914804.30859375</v>
      </c>
      <c r="E795" s="781">
        <f t="shared" si="77"/>
        <v>34346.265625</v>
      </c>
      <c r="F795" s="781">
        <f t="shared" si="71"/>
        <v>1880458.04296875</v>
      </c>
      <c r="G795" s="728">
        <f t="shared" si="76"/>
        <v>1897631.17578125</v>
      </c>
      <c r="H795" s="786">
        <f>+J781*G795+E795</f>
        <v>245691.6089953875</v>
      </c>
      <c r="I795" s="787">
        <f>+J782*G795+E795</f>
        <v>245691.6089953875</v>
      </c>
      <c r="J795" s="784">
        <f t="shared" si="78"/>
        <v>0</v>
      </c>
      <c r="K795" s="784"/>
      <c r="L795" s="804"/>
      <c r="M795" s="784">
        <f t="shared" si="72"/>
        <v>0</v>
      </c>
      <c r="N795" s="804"/>
      <c r="O795" s="784">
        <f t="shared" si="73"/>
        <v>0</v>
      </c>
      <c r="P795" s="784">
        <f t="shared" si="74"/>
        <v>0</v>
      </c>
    </row>
    <row r="796" spans="3:16" ht="12.75">
      <c r="C796" s="780">
        <f>IF(D780="","-",+C795+1)</f>
        <v>2024</v>
      </c>
      <c r="D796" s="728">
        <f t="shared" si="75"/>
        <v>1880458.04296875</v>
      </c>
      <c r="E796" s="781">
        <f t="shared" si="77"/>
        <v>34346.265625</v>
      </c>
      <c r="F796" s="781">
        <f t="shared" si="71"/>
        <v>1846111.77734375</v>
      </c>
      <c r="G796" s="728">
        <f t="shared" si="76"/>
        <v>1863284.91015625</v>
      </c>
      <c r="H796" s="786">
        <f>+J781*G796+E796</f>
        <v>241866.35391176058</v>
      </c>
      <c r="I796" s="787">
        <f>+J782*G796+E796</f>
        <v>241866.35391176058</v>
      </c>
      <c r="J796" s="784">
        <f t="shared" si="78"/>
        <v>0</v>
      </c>
      <c r="K796" s="784"/>
      <c r="L796" s="804"/>
      <c r="M796" s="784">
        <f t="shared" si="72"/>
        <v>0</v>
      </c>
      <c r="N796" s="804"/>
      <c r="O796" s="784">
        <f t="shared" si="73"/>
        <v>0</v>
      </c>
      <c r="P796" s="784">
        <f t="shared" si="74"/>
        <v>0</v>
      </c>
    </row>
    <row r="797" spans="3:16" ht="12.75">
      <c r="C797" s="780">
        <f>IF(D780="","-",+C796+1)</f>
        <v>2025</v>
      </c>
      <c r="D797" s="728">
        <f t="shared" si="75"/>
        <v>1846111.77734375</v>
      </c>
      <c r="E797" s="781">
        <f t="shared" si="77"/>
        <v>34346.265625</v>
      </c>
      <c r="F797" s="781">
        <f t="shared" si="71"/>
        <v>1811765.51171875</v>
      </c>
      <c r="G797" s="728">
        <f t="shared" si="76"/>
        <v>1828938.64453125</v>
      </c>
      <c r="H797" s="786">
        <f>+J781*G797+E797</f>
        <v>238041.09882813366</v>
      </c>
      <c r="I797" s="787">
        <f>+J782*G797+E797</f>
        <v>238041.09882813366</v>
      </c>
      <c r="J797" s="784">
        <f t="shared" si="78"/>
        <v>0</v>
      </c>
      <c r="K797" s="784"/>
      <c r="L797" s="804"/>
      <c r="M797" s="784">
        <f t="shared" si="72"/>
        <v>0</v>
      </c>
      <c r="N797" s="804"/>
      <c r="O797" s="784">
        <f t="shared" si="73"/>
        <v>0</v>
      </c>
      <c r="P797" s="784">
        <f t="shared" si="74"/>
        <v>0</v>
      </c>
    </row>
    <row r="798" spans="3:16" ht="12.75">
      <c r="C798" s="780">
        <f>IF(D780="","-",+C797+1)</f>
        <v>2026</v>
      </c>
      <c r="D798" s="728">
        <f t="shared" si="75"/>
        <v>1811765.51171875</v>
      </c>
      <c r="E798" s="781">
        <f t="shared" si="77"/>
        <v>34346.265625</v>
      </c>
      <c r="F798" s="781">
        <f t="shared" si="71"/>
        <v>1777419.24609375</v>
      </c>
      <c r="G798" s="728">
        <f t="shared" si="76"/>
        <v>1794592.37890625</v>
      </c>
      <c r="H798" s="786">
        <f>+J781*G798+E798</f>
        <v>234215.84374450674</v>
      </c>
      <c r="I798" s="787">
        <f>+J782*G798+E798</f>
        <v>234215.84374450674</v>
      </c>
      <c r="J798" s="784">
        <f t="shared" si="78"/>
        <v>0</v>
      </c>
      <c r="K798" s="784"/>
      <c r="L798" s="804"/>
      <c r="M798" s="784">
        <f t="shared" si="72"/>
        <v>0</v>
      </c>
      <c r="N798" s="804"/>
      <c r="O798" s="784">
        <f t="shared" si="73"/>
        <v>0</v>
      </c>
      <c r="P798" s="784">
        <f t="shared" si="74"/>
        <v>0</v>
      </c>
    </row>
    <row r="799" spans="3:16" ht="12.75">
      <c r="C799" s="780">
        <f>IF(D780="","-",+C798+1)</f>
        <v>2027</v>
      </c>
      <c r="D799" s="728">
        <f t="shared" si="75"/>
        <v>1777419.24609375</v>
      </c>
      <c r="E799" s="781">
        <f t="shared" si="77"/>
        <v>34346.265625</v>
      </c>
      <c r="F799" s="781">
        <f t="shared" si="71"/>
        <v>1743072.98046875</v>
      </c>
      <c r="G799" s="728">
        <f t="shared" si="76"/>
        <v>1760246.11328125</v>
      </c>
      <c r="H799" s="786">
        <f>+J781*G799+E799</f>
        <v>230390.58866087982</v>
      </c>
      <c r="I799" s="787">
        <f>+J782*G799+E799</f>
        <v>230390.58866087982</v>
      </c>
      <c r="J799" s="784">
        <f t="shared" si="78"/>
        <v>0</v>
      </c>
      <c r="K799" s="784"/>
      <c r="L799" s="804"/>
      <c r="M799" s="784">
        <f t="shared" si="72"/>
        <v>0</v>
      </c>
      <c r="N799" s="804"/>
      <c r="O799" s="784">
        <f t="shared" si="73"/>
        <v>0</v>
      </c>
      <c r="P799" s="784">
        <f t="shared" si="74"/>
        <v>0</v>
      </c>
    </row>
    <row r="800" spans="3:16" ht="12.75">
      <c r="C800" s="780">
        <f>IF(D780="","-",+C799+1)</f>
        <v>2028</v>
      </c>
      <c r="D800" s="728">
        <f t="shared" si="75"/>
        <v>1743072.98046875</v>
      </c>
      <c r="E800" s="781">
        <f t="shared" si="77"/>
        <v>34346.265625</v>
      </c>
      <c r="F800" s="781">
        <f t="shared" si="71"/>
        <v>1708726.71484375</v>
      </c>
      <c r="G800" s="728">
        <f t="shared" si="76"/>
        <v>1725899.84765625</v>
      </c>
      <c r="H800" s="786">
        <f>+J781*G800+E800</f>
        <v>226565.3335772529</v>
      </c>
      <c r="I800" s="787">
        <f>+J782*G800+E800</f>
        <v>226565.3335772529</v>
      </c>
      <c r="J800" s="784">
        <f t="shared" si="78"/>
        <v>0</v>
      </c>
      <c r="K800" s="784"/>
      <c r="L800" s="804"/>
      <c r="M800" s="784">
        <f t="shared" si="72"/>
        <v>0</v>
      </c>
      <c r="N800" s="804"/>
      <c r="O800" s="784">
        <f t="shared" si="73"/>
        <v>0</v>
      </c>
      <c r="P800" s="784">
        <f t="shared" si="74"/>
        <v>0</v>
      </c>
    </row>
    <row r="801" spans="3:16" ht="12.75">
      <c r="C801" s="780">
        <f>IF(D780="","-",+C800+1)</f>
        <v>2029</v>
      </c>
      <c r="D801" s="728">
        <f t="shared" si="75"/>
        <v>1708726.71484375</v>
      </c>
      <c r="E801" s="781">
        <f t="shared" si="77"/>
        <v>34346.265625</v>
      </c>
      <c r="F801" s="781">
        <f t="shared" si="71"/>
        <v>1674380.44921875</v>
      </c>
      <c r="G801" s="728">
        <f t="shared" si="76"/>
        <v>1691553.58203125</v>
      </c>
      <c r="H801" s="786">
        <f>+J781*G801+E801</f>
        <v>222740.07849362597</v>
      </c>
      <c r="I801" s="787">
        <f>+J782*G801+E801</f>
        <v>222740.07849362597</v>
      </c>
      <c r="J801" s="784">
        <f t="shared" si="78"/>
        <v>0</v>
      </c>
      <c r="K801" s="784"/>
      <c r="L801" s="804"/>
      <c r="M801" s="784">
        <f t="shared" si="72"/>
        <v>0</v>
      </c>
      <c r="N801" s="804"/>
      <c r="O801" s="784">
        <f t="shared" si="73"/>
        <v>0</v>
      </c>
      <c r="P801" s="784">
        <f t="shared" si="74"/>
        <v>0</v>
      </c>
    </row>
    <row r="802" spans="3:16" ht="12.75">
      <c r="C802" s="780">
        <f>IF(D780="","-",+C801+1)</f>
        <v>2030</v>
      </c>
      <c r="D802" s="728">
        <f t="shared" si="75"/>
        <v>1674380.44921875</v>
      </c>
      <c r="E802" s="781">
        <f t="shared" si="77"/>
        <v>34346.265625</v>
      </c>
      <c r="F802" s="781">
        <f t="shared" si="71"/>
        <v>1640034.18359375</v>
      </c>
      <c r="G802" s="728">
        <f t="shared" si="76"/>
        <v>1657207.31640625</v>
      </c>
      <c r="H802" s="786">
        <f>+J781*G802+E802</f>
        <v>218914.82340999905</v>
      </c>
      <c r="I802" s="787">
        <f>+J782*G802+E802</f>
        <v>218914.82340999905</v>
      </c>
      <c r="J802" s="784">
        <f t="shared" si="78"/>
        <v>0</v>
      </c>
      <c r="K802" s="784"/>
      <c r="L802" s="804"/>
      <c r="M802" s="784">
        <f t="shared" si="72"/>
        <v>0</v>
      </c>
      <c r="N802" s="804"/>
      <c r="O802" s="784">
        <f t="shared" si="73"/>
        <v>0</v>
      </c>
      <c r="P802" s="784">
        <f t="shared" si="74"/>
        <v>0</v>
      </c>
    </row>
    <row r="803" spans="3:16" ht="12.75">
      <c r="C803" s="780">
        <f>IF(D780="","-",+C802+1)</f>
        <v>2031</v>
      </c>
      <c r="D803" s="728">
        <f t="shared" si="75"/>
        <v>1640034.18359375</v>
      </c>
      <c r="E803" s="781">
        <f t="shared" si="77"/>
        <v>34346.265625</v>
      </c>
      <c r="F803" s="781">
        <f t="shared" si="71"/>
        <v>1605687.91796875</v>
      </c>
      <c r="G803" s="728">
        <f t="shared" si="76"/>
        <v>1622861.05078125</v>
      </c>
      <c r="H803" s="786">
        <f>+J781*G803+E803</f>
        <v>215089.56832637213</v>
      </c>
      <c r="I803" s="787">
        <f>+J782*G803+E803</f>
        <v>215089.56832637213</v>
      </c>
      <c r="J803" s="784">
        <f t="shared" si="78"/>
        <v>0</v>
      </c>
      <c r="K803" s="784"/>
      <c r="L803" s="804"/>
      <c r="M803" s="784">
        <f t="shared" si="72"/>
        <v>0</v>
      </c>
      <c r="N803" s="804"/>
      <c r="O803" s="784">
        <f t="shared" si="73"/>
        <v>0</v>
      </c>
      <c r="P803" s="784">
        <f t="shared" si="74"/>
        <v>0</v>
      </c>
    </row>
    <row r="804" spans="3:16" ht="12.75">
      <c r="C804" s="780">
        <f>IF(D780="","-",+C803+1)</f>
        <v>2032</v>
      </c>
      <c r="D804" s="728">
        <f t="shared" si="75"/>
        <v>1605687.91796875</v>
      </c>
      <c r="E804" s="781">
        <f t="shared" si="77"/>
        <v>34346.265625</v>
      </c>
      <c r="F804" s="781">
        <f t="shared" si="71"/>
        <v>1571341.65234375</v>
      </c>
      <c r="G804" s="728">
        <f t="shared" si="76"/>
        <v>1588514.78515625</v>
      </c>
      <c r="H804" s="786">
        <f>+J781*G804+E804</f>
        <v>211264.3132427452</v>
      </c>
      <c r="I804" s="787">
        <f>+J782*G804+E804</f>
        <v>211264.3132427452</v>
      </c>
      <c r="J804" s="784">
        <f t="shared" si="78"/>
        <v>0</v>
      </c>
      <c r="K804" s="784"/>
      <c r="L804" s="804"/>
      <c r="M804" s="784">
        <f t="shared" si="72"/>
        <v>0</v>
      </c>
      <c r="N804" s="804"/>
      <c r="O804" s="784">
        <f t="shared" si="73"/>
        <v>0</v>
      </c>
      <c r="P804" s="784">
        <f t="shared" si="74"/>
        <v>0</v>
      </c>
    </row>
    <row r="805" spans="3:16" ht="12.75">
      <c r="C805" s="780">
        <f>IF(D780="","-",+C804+1)</f>
        <v>2033</v>
      </c>
      <c r="D805" s="728">
        <f t="shared" si="75"/>
        <v>1571341.65234375</v>
      </c>
      <c r="E805" s="781">
        <f t="shared" si="77"/>
        <v>34346.265625</v>
      </c>
      <c r="F805" s="781">
        <f t="shared" si="71"/>
        <v>1536995.38671875</v>
      </c>
      <c r="G805" s="728">
        <f t="shared" si="76"/>
        <v>1554168.51953125</v>
      </c>
      <c r="H805" s="786">
        <f>+J781*G805+E805</f>
        <v>207439.05815911829</v>
      </c>
      <c r="I805" s="787">
        <f>+J782*G805+E805</f>
        <v>207439.05815911829</v>
      </c>
      <c r="J805" s="784">
        <f t="shared" si="78"/>
        <v>0</v>
      </c>
      <c r="K805" s="784"/>
      <c r="L805" s="804"/>
      <c r="M805" s="784">
        <f t="shared" si="72"/>
        <v>0</v>
      </c>
      <c r="N805" s="804"/>
      <c r="O805" s="784">
        <f t="shared" si="73"/>
        <v>0</v>
      </c>
      <c r="P805" s="784">
        <f t="shared" si="74"/>
        <v>0</v>
      </c>
    </row>
    <row r="806" spans="3:16" ht="12.75">
      <c r="C806" s="780">
        <f>IF(D780="","-",+C805+1)</f>
        <v>2034</v>
      </c>
      <c r="D806" s="728">
        <f t="shared" si="75"/>
        <v>1536995.38671875</v>
      </c>
      <c r="E806" s="781">
        <f t="shared" si="77"/>
        <v>34346.265625</v>
      </c>
      <c r="F806" s="781">
        <f t="shared" si="71"/>
        <v>1502649.12109375</v>
      </c>
      <c r="G806" s="728">
        <f t="shared" si="76"/>
        <v>1519822.25390625</v>
      </c>
      <c r="H806" s="786">
        <f>+J781*G806+E806</f>
        <v>203613.80307549136</v>
      </c>
      <c r="I806" s="787">
        <f>+J782*G806+E806</f>
        <v>203613.80307549136</v>
      </c>
      <c r="J806" s="784">
        <f t="shared" si="78"/>
        <v>0</v>
      </c>
      <c r="K806" s="784"/>
      <c r="L806" s="804"/>
      <c r="M806" s="784">
        <f t="shared" si="72"/>
        <v>0</v>
      </c>
      <c r="N806" s="804"/>
      <c r="O806" s="784">
        <f t="shared" si="73"/>
        <v>0</v>
      </c>
      <c r="P806" s="784">
        <f t="shared" si="74"/>
        <v>0</v>
      </c>
    </row>
    <row r="807" spans="3:16" ht="12.75">
      <c r="C807" s="780">
        <f>IF(D780="","-",+C806+1)</f>
        <v>2035</v>
      </c>
      <c r="D807" s="728">
        <f t="shared" si="75"/>
        <v>1502649.12109375</v>
      </c>
      <c r="E807" s="781">
        <f t="shared" si="77"/>
        <v>34346.265625</v>
      </c>
      <c r="F807" s="781">
        <f t="shared" si="71"/>
        <v>1468302.85546875</v>
      </c>
      <c r="G807" s="728">
        <f t="shared" si="76"/>
        <v>1485475.98828125</v>
      </c>
      <c r="H807" s="786">
        <f>+J781*G807+E807</f>
        <v>199788.54799186444</v>
      </c>
      <c r="I807" s="787">
        <f>+J782*G807+E807</f>
        <v>199788.54799186444</v>
      </c>
      <c r="J807" s="784">
        <f t="shared" si="78"/>
        <v>0</v>
      </c>
      <c r="K807" s="784"/>
      <c r="L807" s="804"/>
      <c r="M807" s="784">
        <f t="shared" si="72"/>
        <v>0</v>
      </c>
      <c r="N807" s="804"/>
      <c r="O807" s="784">
        <f t="shared" si="73"/>
        <v>0</v>
      </c>
      <c r="P807" s="784">
        <f t="shared" si="74"/>
        <v>0</v>
      </c>
    </row>
    <row r="808" spans="3:16" ht="12.75">
      <c r="C808" s="780">
        <f>IF(D780="","-",+C807+1)</f>
        <v>2036</v>
      </c>
      <c r="D808" s="728">
        <f t="shared" si="75"/>
        <v>1468302.85546875</v>
      </c>
      <c r="E808" s="781">
        <f t="shared" si="77"/>
        <v>34346.265625</v>
      </c>
      <c r="F808" s="781">
        <f t="shared" si="71"/>
        <v>1433956.58984375</v>
      </c>
      <c r="G808" s="728">
        <f t="shared" si="76"/>
        <v>1451129.72265625</v>
      </c>
      <c r="H808" s="786">
        <f>+J781*G808+E808</f>
        <v>195963.29290823752</v>
      </c>
      <c r="I808" s="787">
        <f>+J782*G808+E808</f>
        <v>195963.29290823752</v>
      </c>
      <c r="J808" s="784">
        <f t="shared" si="78"/>
        <v>0</v>
      </c>
      <c r="K808" s="784"/>
      <c r="L808" s="804"/>
      <c r="M808" s="784">
        <f t="shared" si="72"/>
        <v>0</v>
      </c>
      <c r="N808" s="804"/>
      <c r="O808" s="784">
        <f t="shared" si="73"/>
        <v>0</v>
      </c>
      <c r="P808" s="784">
        <f t="shared" si="74"/>
        <v>0</v>
      </c>
    </row>
    <row r="809" spans="3:16" ht="12.75">
      <c r="C809" s="780">
        <f>IF(D780="","-",+C808+1)</f>
        <v>2037</v>
      </c>
      <c r="D809" s="728">
        <f t="shared" si="75"/>
        <v>1433956.58984375</v>
      </c>
      <c r="E809" s="781">
        <f t="shared" si="77"/>
        <v>34346.265625</v>
      </c>
      <c r="F809" s="781">
        <f t="shared" si="71"/>
        <v>1399610.32421875</v>
      </c>
      <c r="G809" s="728">
        <f t="shared" si="76"/>
        <v>1416783.45703125</v>
      </c>
      <c r="H809" s="786">
        <f>+J781*G809+E809</f>
        <v>192138.0378246106</v>
      </c>
      <c r="I809" s="787">
        <f>+J782*G809+E809</f>
        <v>192138.0378246106</v>
      </c>
      <c r="J809" s="784">
        <f t="shared" si="78"/>
        <v>0</v>
      </c>
      <c r="K809" s="784"/>
      <c r="L809" s="804"/>
      <c r="M809" s="784">
        <f t="shared" si="72"/>
        <v>0</v>
      </c>
      <c r="N809" s="804"/>
      <c r="O809" s="784">
        <f t="shared" si="73"/>
        <v>0</v>
      </c>
      <c r="P809" s="784">
        <f t="shared" si="74"/>
        <v>0</v>
      </c>
    </row>
    <row r="810" spans="3:16" ht="12.75">
      <c r="C810" s="780">
        <f>IF(D780="","-",+C809+1)</f>
        <v>2038</v>
      </c>
      <c r="D810" s="728">
        <f t="shared" si="75"/>
        <v>1399610.32421875</v>
      </c>
      <c r="E810" s="781">
        <f t="shared" si="77"/>
        <v>34346.265625</v>
      </c>
      <c r="F810" s="781">
        <f t="shared" si="71"/>
        <v>1365264.05859375</v>
      </c>
      <c r="G810" s="728">
        <f t="shared" si="76"/>
        <v>1382437.19140625</v>
      </c>
      <c r="H810" s="786">
        <f>+J781*G810+E810</f>
        <v>188312.78274098368</v>
      </c>
      <c r="I810" s="787">
        <f>+J782*G810+E810</f>
        <v>188312.78274098368</v>
      </c>
      <c r="J810" s="784">
        <f t="shared" si="78"/>
        <v>0</v>
      </c>
      <c r="K810" s="784"/>
      <c r="L810" s="804"/>
      <c r="M810" s="784">
        <f t="shared" si="72"/>
        <v>0</v>
      </c>
      <c r="N810" s="804"/>
      <c r="O810" s="784">
        <f t="shared" si="73"/>
        <v>0</v>
      </c>
      <c r="P810" s="784">
        <f t="shared" si="74"/>
        <v>0</v>
      </c>
    </row>
    <row r="811" spans="3:16" ht="12.75">
      <c r="C811" s="780">
        <f>IF(D780="","-",+C810+1)</f>
        <v>2039</v>
      </c>
      <c r="D811" s="728">
        <f t="shared" si="75"/>
        <v>1365264.05859375</v>
      </c>
      <c r="E811" s="781">
        <f t="shared" si="77"/>
        <v>34346.265625</v>
      </c>
      <c r="F811" s="781">
        <f t="shared" si="71"/>
        <v>1330917.79296875</v>
      </c>
      <c r="G811" s="728">
        <f t="shared" si="76"/>
        <v>1348090.92578125</v>
      </c>
      <c r="H811" s="786">
        <f>+J781*G811+E811</f>
        <v>184487.52765735675</v>
      </c>
      <c r="I811" s="787">
        <f>+J782*G811+E811</f>
        <v>184487.52765735675</v>
      </c>
      <c r="J811" s="784">
        <f t="shared" si="78"/>
        <v>0</v>
      </c>
      <c r="K811" s="784"/>
      <c r="L811" s="804"/>
      <c r="M811" s="784">
        <f t="shared" si="72"/>
        <v>0</v>
      </c>
      <c r="N811" s="804"/>
      <c r="O811" s="784">
        <f t="shared" si="73"/>
        <v>0</v>
      </c>
      <c r="P811" s="784">
        <f t="shared" si="74"/>
        <v>0</v>
      </c>
    </row>
    <row r="812" spans="3:16" ht="12.75">
      <c r="C812" s="780">
        <f>IF(D780="","-",+C811+1)</f>
        <v>2040</v>
      </c>
      <c r="D812" s="728">
        <f t="shared" si="75"/>
        <v>1330917.79296875</v>
      </c>
      <c r="E812" s="781">
        <f t="shared" si="77"/>
        <v>34346.265625</v>
      </c>
      <c r="F812" s="781">
        <f t="shared" si="71"/>
        <v>1296571.52734375</v>
      </c>
      <c r="G812" s="728">
        <f t="shared" si="76"/>
        <v>1313744.66015625</v>
      </c>
      <c r="H812" s="786">
        <f>+J781*G812+E812</f>
        <v>180662.27257372983</v>
      </c>
      <c r="I812" s="787">
        <f>+J782*G812+E812</f>
        <v>180662.27257372983</v>
      </c>
      <c r="J812" s="784">
        <f t="shared" si="78"/>
        <v>0</v>
      </c>
      <c r="K812" s="784"/>
      <c r="L812" s="804"/>
      <c r="M812" s="784">
        <f t="shared" si="72"/>
        <v>0</v>
      </c>
      <c r="N812" s="804"/>
      <c r="O812" s="784">
        <f t="shared" si="73"/>
        <v>0</v>
      </c>
      <c r="P812" s="784">
        <f t="shared" si="74"/>
        <v>0</v>
      </c>
    </row>
    <row r="813" spans="3:16" ht="12.75">
      <c r="C813" s="780">
        <f>IF(D780="","-",+C812+1)</f>
        <v>2041</v>
      </c>
      <c r="D813" s="728">
        <f t="shared" si="75"/>
        <v>1296571.52734375</v>
      </c>
      <c r="E813" s="781">
        <f t="shared" si="77"/>
        <v>34346.265625</v>
      </c>
      <c r="F813" s="781">
        <f t="shared" si="71"/>
        <v>1262225.26171875</v>
      </c>
      <c r="G813" s="728">
        <f t="shared" si="76"/>
        <v>1279398.39453125</v>
      </c>
      <c r="H813" s="786">
        <f>+J781*G813+E813</f>
        <v>176837.0174901029</v>
      </c>
      <c r="I813" s="787">
        <f>+J782*G813+E813</f>
        <v>176837.0174901029</v>
      </c>
      <c r="J813" s="784">
        <f t="shared" si="78"/>
        <v>0</v>
      </c>
      <c r="K813" s="784"/>
      <c r="L813" s="804"/>
      <c r="M813" s="784">
        <f t="shared" si="72"/>
        <v>0</v>
      </c>
      <c r="N813" s="804"/>
      <c r="O813" s="784">
        <f t="shared" si="73"/>
        <v>0</v>
      </c>
      <c r="P813" s="784">
        <f t="shared" si="74"/>
        <v>0</v>
      </c>
    </row>
    <row r="814" spans="3:16" ht="12.75">
      <c r="C814" s="780">
        <f>IF(D780="","-",+C813+1)</f>
        <v>2042</v>
      </c>
      <c r="D814" s="728">
        <f t="shared" si="75"/>
        <v>1262225.26171875</v>
      </c>
      <c r="E814" s="781">
        <f t="shared" si="77"/>
        <v>34346.265625</v>
      </c>
      <c r="F814" s="781">
        <f t="shared" si="71"/>
        <v>1227878.99609375</v>
      </c>
      <c r="G814" s="728">
        <f t="shared" si="76"/>
        <v>1245052.12890625</v>
      </c>
      <c r="H814" s="786">
        <f>+J781*G814+E814</f>
        <v>173011.762406476</v>
      </c>
      <c r="I814" s="787">
        <f>+J782*G814+E814</f>
        <v>173011.762406476</v>
      </c>
      <c r="J814" s="784">
        <f t="shared" si="78"/>
        <v>0</v>
      </c>
      <c r="K814" s="784"/>
      <c r="L814" s="804"/>
      <c r="M814" s="784">
        <f t="shared" si="72"/>
        <v>0</v>
      </c>
      <c r="N814" s="804"/>
      <c r="O814" s="784">
        <f t="shared" si="73"/>
        <v>0</v>
      </c>
      <c r="P814" s="784">
        <f t="shared" si="74"/>
        <v>0</v>
      </c>
    </row>
    <row r="815" spans="3:16" ht="12.75">
      <c r="C815" s="780">
        <f>IF(D780="","-",+C814+1)</f>
        <v>2043</v>
      </c>
      <c r="D815" s="728">
        <f t="shared" si="75"/>
        <v>1227878.99609375</v>
      </c>
      <c r="E815" s="781">
        <f t="shared" si="77"/>
        <v>34346.265625</v>
      </c>
      <c r="F815" s="781">
        <f t="shared" si="71"/>
        <v>1193532.73046875</v>
      </c>
      <c r="G815" s="728">
        <f t="shared" si="76"/>
        <v>1210705.86328125</v>
      </c>
      <c r="H815" s="786">
        <f>+J781*G815+E815</f>
        <v>169186.50732284904</v>
      </c>
      <c r="I815" s="787">
        <f>+J782*G815+E815</f>
        <v>169186.50732284904</v>
      </c>
      <c r="J815" s="784">
        <f t="shared" si="78"/>
        <v>0</v>
      </c>
      <c r="K815" s="784"/>
      <c r="L815" s="804"/>
      <c r="M815" s="784">
        <f t="shared" si="72"/>
        <v>0</v>
      </c>
      <c r="N815" s="804"/>
      <c r="O815" s="784">
        <f t="shared" si="73"/>
        <v>0</v>
      </c>
      <c r="P815" s="784">
        <f t="shared" si="74"/>
        <v>0</v>
      </c>
    </row>
    <row r="816" spans="3:16" ht="12.75">
      <c r="C816" s="780">
        <f>IF(D780="","-",+C815+1)</f>
        <v>2044</v>
      </c>
      <c r="D816" s="728">
        <f t="shared" si="75"/>
        <v>1193532.73046875</v>
      </c>
      <c r="E816" s="781">
        <f t="shared" si="77"/>
        <v>34346.265625</v>
      </c>
      <c r="F816" s="781">
        <f t="shared" si="71"/>
        <v>1159186.46484375</v>
      </c>
      <c r="G816" s="728">
        <f t="shared" si="76"/>
        <v>1176359.59765625</v>
      </c>
      <c r="H816" s="786">
        <f>+J781*G816+E816</f>
        <v>165361.2522392221</v>
      </c>
      <c r="I816" s="787">
        <f>+J782*G816+E816</f>
        <v>165361.2522392221</v>
      </c>
      <c r="J816" s="784">
        <f t="shared" si="78"/>
        <v>0</v>
      </c>
      <c r="K816" s="784"/>
      <c r="L816" s="804"/>
      <c r="M816" s="784">
        <f t="shared" si="72"/>
        <v>0</v>
      </c>
      <c r="N816" s="804"/>
      <c r="O816" s="784">
        <f t="shared" si="73"/>
        <v>0</v>
      </c>
      <c r="P816" s="784">
        <f t="shared" si="74"/>
        <v>0</v>
      </c>
    </row>
    <row r="817" spans="3:16" ht="12.75">
      <c r="C817" s="780">
        <f>IF(D780="","-",+C816+1)</f>
        <v>2045</v>
      </c>
      <c r="D817" s="728">
        <f t="shared" si="75"/>
        <v>1159186.46484375</v>
      </c>
      <c r="E817" s="781">
        <f t="shared" si="77"/>
        <v>34346.265625</v>
      </c>
      <c r="F817" s="781">
        <f t="shared" si="71"/>
        <v>1124840.19921875</v>
      </c>
      <c r="G817" s="728">
        <f t="shared" si="76"/>
        <v>1142013.33203125</v>
      </c>
      <c r="H817" s="786">
        <f>+J781*G817+E817</f>
        <v>161535.99715559522</v>
      </c>
      <c r="I817" s="787">
        <f>+J782*G817+E817</f>
        <v>161535.99715559522</v>
      </c>
      <c r="J817" s="784">
        <f t="shared" si="78"/>
        <v>0</v>
      </c>
      <c r="K817" s="784"/>
      <c r="L817" s="804"/>
      <c r="M817" s="784">
        <f t="shared" si="72"/>
        <v>0</v>
      </c>
      <c r="N817" s="804"/>
      <c r="O817" s="784">
        <f t="shared" si="73"/>
        <v>0</v>
      </c>
      <c r="P817" s="784">
        <f t="shared" si="74"/>
        <v>0</v>
      </c>
    </row>
    <row r="818" spans="3:16" ht="12.75">
      <c r="C818" s="780">
        <f>IF(D780="","-",+C817+1)</f>
        <v>2046</v>
      </c>
      <c r="D818" s="728">
        <f t="shared" si="75"/>
        <v>1124840.19921875</v>
      </c>
      <c r="E818" s="781">
        <f t="shared" si="77"/>
        <v>34346.265625</v>
      </c>
      <c r="F818" s="781">
        <f t="shared" si="71"/>
        <v>1090493.93359375</v>
      </c>
      <c r="G818" s="728">
        <f t="shared" si="76"/>
        <v>1107667.06640625</v>
      </c>
      <c r="H818" s="786">
        <f>+J781*G818+E818</f>
        <v>157710.74207196827</v>
      </c>
      <c r="I818" s="787">
        <f>+J782*G818+E818</f>
        <v>157710.74207196827</v>
      </c>
      <c r="J818" s="784">
        <f t="shared" si="78"/>
        <v>0</v>
      </c>
      <c r="K818" s="784"/>
      <c r="L818" s="804"/>
      <c r="M818" s="784">
        <f t="shared" si="72"/>
        <v>0</v>
      </c>
      <c r="N818" s="804"/>
      <c r="O818" s="784">
        <f t="shared" si="73"/>
        <v>0</v>
      </c>
      <c r="P818" s="784">
        <f t="shared" si="74"/>
        <v>0</v>
      </c>
    </row>
    <row r="819" spans="3:16" ht="12.75">
      <c r="C819" s="780">
        <f>IF(D780="","-",+C818+1)</f>
        <v>2047</v>
      </c>
      <c r="D819" s="728">
        <f t="shared" si="75"/>
        <v>1090493.93359375</v>
      </c>
      <c r="E819" s="781">
        <f t="shared" si="77"/>
        <v>34346.265625</v>
      </c>
      <c r="F819" s="781">
        <f t="shared" si="71"/>
        <v>1056147.66796875</v>
      </c>
      <c r="G819" s="728">
        <f t="shared" si="76"/>
        <v>1073320.80078125</v>
      </c>
      <c r="H819" s="786">
        <f>+J781*G819+E819</f>
        <v>153885.48698834138</v>
      </c>
      <c r="I819" s="787">
        <f>+J782*G819+E819</f>
        <v>153885.48698834138</v>
      </c>
      <c r="J819" s="784">
        <f t="shared" si="78"/>
        <v>0</v>
      </c>
      <c r="K819" s="784"/>
      <c r="L819" s="804"/>
      <c r="M819" s="784">
        <f t="shared" si="72"/>
        <v>0</v>
      </c>
      <c r="N819" s="804"/>
      <c r="O819" s="784">
        <f t="shared" si="73"/>
        <v>0</v>
      </c>
      <c r="P819" s="784">
        <f t="shared" si="74"/>
        <v>0</v>
      </c>
    </row>
    <row r="820" spans="3:16" ht="12.75">
      <c r="C820" s="780">
        <f>IF(D780="","-",+C819+1)</f>
        <v>2048</v>
      </c>
      <c r="D820" s="728">
        <f t="shared" si="75"/>
        <v>1056147.66796875</v>
      </c>
      <c r="E820" s="781">
        <f t="shared" si="77"/>
        <v>34346.265625</v>
      </c>
      <c r="F820" s="781">
        <f t="shared" si="71"/>
        <v>1021801.40234375</v>
      </c>
      <c r="G820" s="728">
        <f t="shared" si="76"/>
        <v>1038974.53515625</v>
      </c>
      <c r="H820" s="786">
        <f>+J781*G820+E820</f>
        <v>150060.23190471443</v>
      </c>
      <c r="I820" s="787">
        <f>+J782*G820+E820</f>
        <v>150060.23190471443</v>
      </c>
      <c r="J820" s="784">
        <f t="shared" si="78"/>
        <v>0</v>
      </c>
      <c r="K820" s="784"/>
      <c r="L820" s="804"/>
      <c r="M820" s="784">
        <f t="shared" si="72"/>
        <v>0</v>
      </c>
      <c r="N820" s="804"/>
      <c r="O820" s="784">
        <f t="shared" si="73"/>
        <v>0</v>
      </c>
      <c r="P820" s="784">
        <f t="shared" si="74"/>
        <v>0</v>
      </c>
    </row>
    <row r="821" spans="3:16" ht="12.75">
      <c r="C821" s="780">
        <f>IF(D780="","-",+C820+1)</f>
        <v>2049</v>
      </c>
      <c r="D821" s="728">
        <f t="shared" si="75"/>
        <v>1021801.40234375</v>
      </c>
      <c r="E821" s="781">
        <f t="shared" si="77"/>
        <v>34346.265625</v>
      </c>
      <c r="F821" s="781">
        <f t="shared" si="71"/>
        <v>987455.13671875</v>
      </c>
      <c r="G821" s="728">
        <f t="shared" si="76"/>
        <v>1004628.26953125</v>
      </c>
      <c r="H821" s="786">
        <f>+J781*G821+E821</f>
        <v>146234.9768210875</v>
      </c>
      <c r="I821" s="787">
        <f>+J782*G821+E821</f>
        <v>146234.9768210875</v>
      </c>
      <c r="J821" s="784">
        <f t="shared" si="78"/>
        <v>0</v>
      </c>
      <c r="K821" s="784"/>
      <c r="L821" s="804"/>
      <c r="M821" s="784">
        <f t="shared" si="72"/>
        <v>0</v>
      </c>
      <c r="N821" s="804"/>
      <c r="O821" s="784">
        <f t="shared" si="73"/>
        <v>0</v>
      </c>
      <c r="P821" s="784">
        <f t="shared" si="74"/>
        <v>0</v>
      </c>
    </row>
    <row r="822" spans="3:16" ht="12.75">
      <c r="C822" s="780">
        <f>IF(D780="","-",+C821+1)</f>
        <v>2050</v>
      </c>
      <c r="D822" s="728">
        <f t="shared" si="75"/>
        <v>987455.13671875</v>
      </c>
      <c r="E822" s="781">
        <f t="shared" si="77"/>
        <v>34346.265625</v>
      </c>
      <c r="F822" s="781">
        <f t="shared" si="71"/>
        <v>953108.87109375</v>
      </c>
      <c r="G822" s="728">
        <f t="shared" si="76"/>
        <v>970282.00390625</v>
      </c>
      <c r="H822" s="786">
        <f>+J781*G822+E822</f>
        <v>142409.72173746058</v>
      </c>
      <c r="I822" s="787">
        <f>+J782*G822+E822</f>
        <v>142409.72173746058</v>
      </c>
      <c r="J822" s="784">
        <f t="shared" si="78"/>
        <v>0</v>
      </c>
      <c r="K822" s="784"/>
      <c r="L822" s="804"/>
      <c r="M822" s="784">
        <f t="shared" si="72"/>
        <v>0</v>
      </c>
      <c r="N822" s="804"/>
      <c r="O822" s="784">
        <f t="shared" si="73"/>
        <v>0</v>
      </c>
      <c r="P822" s="784">
        <f t="shared" si="74"/>
        <v>0</v>
      </c>
    </row>
    <row r="823" spans="3:16" ht="12.75">
      <c r="C823" s="780">
        <f>IF(D780="","-",+C822+1)</f>
        <v>2051</v>
      </c>
      <c r="D823" s="728">
        <f t="shared" si="75"/>
        <v>953108.87109375</v>
      </c>
      <c r="E823" s="781">
        <f t="shared" si="77"/>
        <v>34346.265625</v>
      </c>
      <c r="F823" s="781">
        <f t="shared" si="71"/>
        <v>918762.60546875</v>
      </c>
      <c r="G823" s="728">
        <f t="shared" si="76"/>
        <v>935935.73828125</v>
      </c>
      <c r="H823" s="786">
        <f>+J781*G823+E823</f>
        <v>138584.46665383366</v>
      </c>
      <c r="I823" s="787">
        <f>+J782*G823+E823</f>
        <v>138584.46665383366</v>
      </c>
      <c r="J823" s="784">
        <f t="shared" si="78"/>
        <v>0</v>
      </c>
      <c r="K823" s="784"/>
      <c r="L823" s="804"/>
      <c r="M823" s="784">
        <f t="shared" si="72"/>
        <v>0</v>
      </c>
      <c r="N823" s="804"/>
      <c r="O823" s="784">
        <f t="shared" si="73"/>
        <v>0</v>
      </c>
      <c r="P823" s="784">
        <f t="shared" si="74"/>
        <v>0</v>
      </c>
    </row>
    <row r="824" spans="3:16" ht="12.75">
      <c r="C824" s="780">
        <f>IF(D780="","-",+C823+1)</f>
        <v>2052</v>
      </c>
      <c r="D824" s="728">
        <f t="shared" si="75"/>
        <v>918762.60546875</v>
      </c>
      <c r="E824" s="781">
        <f t="shared" si="77"/>
        <v>34346.265625</v>
      </c>
      <c r="F824" s="781">
        <f t="shared" si="71"/>
        <v>884416.33984375</v>
      </c>
      <c r="G824" s="728">
        <f t="shared" si="76"/>
        <v>901589.47265625</v>
      </c>
      <c r="H824" s="786">
        <f>+J781*G824+E824</f>
        <v>134759.21157020674</v>
      </c>
      <c r="I824" s="787">
        <f>+J782*G824+E824</f>
        <v>134759.21157020674</v>
      </c>
      <c r="J824" s="784">
        <f t="shared" si="78"/>
        <v>0</v>
      </c>
      <c r="K824" s="784"/>
      <c r="L824" s="804"/>
      <c r="M824" s="784">
        <f t="shared" si="72"/>
        <v>0</v>
      </c>
      <c r="N824" s="804"/>
      <c r="O824" s="784">
        <f t="shared" si="73"/>
        <v>0</v>
      </c>
      <c r="P824" s="784">
        <f t="shared" si="74"/>
        <v>0</v>
      </c>
    </row>
    <row r="825" spans="3:16" ht="12.75">
      <c r="C825" s="780">
        <f>IF(D780="","-",+C824+1)</f>
        <v>2053</v>
      </c>
      <c r="D825" s="728">
        <f t="shared" si="75"/>
        <v>884416.33984375</v>
      </c>
      <c r="E825" s="781">
        <f t="shared" si="77"/>
        <v>34346.265625</v>
      </c>
      <c r="F825" s="781">
        <f t="shared" si="71"/>
        <v>850070.07421875</v>
      </c>
      <c r="G825" s="728">
        <f t="shared" si="76"/>
        <v>867243.20703125</v>
      </c>
      <c r="H825" s="786">
        <f>+J781*G825+E825</f>
        <v>130933.95648657982</v>
      </c>
      <c r="I825" s="787">
        <f>+J782*G825+E825</f>
        <v>130933.95648657982</v>
      </c>
      <c r="J825" s="784">
        <f t="shared" si="78"/>
        <v>0</v>
      </c>
      <c r="K825" s="784"/>
      <c r="L825" s="804"/>
      <c r="M825" s="784">
        <f t="shared" si="72"/>
        <v>0</v>
      </c>
      <c r="N825" s="804"/>
      <c r="O825" s="784">
        <f t="shared" si="73"/>
        <v>0</v>
      </c>
      <c r="P825" s="784">
        <f t="shared" si="74"/>
        <v>0</v>
      </c>
    </row>
    <row r="826" spans="3:16" ht="12.75">
      <c r="C826" s="780">
        <f>IF(D780="","-",+C825+1)</f>
        <v>2054</v>
      </c>
      <c r="D826" s="728">
        <f t="shared" si="75"/>
        <v>850070.07421875</v>
      </c>
      <c r="E826" s="781">
        <f t="shared" si="77"/>
        <v>34346.265625</v>
      </c>
      <c r="F826" s="781">
        <f t="shared" si="71"/>
        <v>815723.80859375</v>
      </c>
      <c r="G826" s="728">
        <f t="shared" si="76"/>
        <v>832896.94140625</v>
      </c>
      <c r="H826" s="786">
        <f>+J781*G826+E826</f>
        <v>127108.7014029529</v>
      </c>
      <c r="I826" s="787">
        <f>+J782*G826+E826</f>
        <v>127108.7014029529</v>
      </c>
      <c r="J826" s="784">
        <f t="shared" si="78"/>
        <v>0</v>
      </c>
      <c r="K826" s="784"/>
      <c r="L826" s="804"/>
      <c r="M826" s="784">
        <f t="shared" si="72"/>
        <v>0</v>
      </c>
      <c r="N826" s="804"/>
      <c r="O826" s="784">
        <f t="shared" si="73"/>
        <v>0</v>
      </c>
      <c r="P826" s="784">
        <f t="shared" si="74"/>
        <v>0</v>
      </c>
    </row>
    <row r="827" spans="3:16" ht="12.75">
      <c r="C827" s="780">
        <f>IF(D780="","-",+C826+1)</f>
        <v>2055</v>
      </c>
      <c r="D827" s="728">
        <f t="shared" si="75"/>
        <v>815723.80859375</v>
      </c>
      <c r="E827" s="781">
        <f t="shared" si="77"/>
        <v>34346.265625</v>
      </c>
      <c r="F827" s="781">
        <f t="shared" si="71"/>
        <v>781377.54296875</v>
      </c>
      <c r="G827" s="728">
        <f t="shared" si="76"/>
        <v>798550.67578125</v>
      </c>
      <c r="H827" s="786">
        <f>+J781*G827+E827</f>
        <v>123283.44631932597</v>
      </c>
      <c r="I827" s="787">
        <f>+J782*G827+E827</f>
        <v>123283.44631932597</v>
      </c>
      <c r="J827" s="784">
        <f t="shared" si="78"/>
        <v>0</v>
      </c>
      <c r="K827" s="784"/>
      <c r="L827" s="804"/>
      <c r="M827" s="784">
        <f t="shared" si="72"/>
        <v>0</v>
      </c>
      <c r="N827" s="804"/>
      <c r="O827" s="784">
        <f t="shared" si="73"/>
        <v>0</v>
      </c>
      <c r="P827" s="784">
        <f t="shared" si="74"/>
        <v>0</v>
      </c>
    </row>
    <row r="828" spans="3:16" ht="12.75">
      <c r="C828" s="780">
        <f>IF(D780="","-",+C827+1)</f>
        <v>2056</v>
      </c>
      <c r="D828" s="728">
        <f t="shared" si="75"/>
        <v>781377.54296875</v>
      </c>
      <c r="E828" s="781">
        <f t="shared" si="77"/>
        <v>34346.265625</v>
      </c>
      <c r="F828" s="781">
        <f t="shared" si="71"/>
        <v>747031.27734375</v>
      </c>
      <c r="G828" s="728">
        <f t="shared" si="76"/>
        <v>764204.41015625</v>
      </c>
      <c r="H828" s="786">
        <f>+J781*G828+E828</f>
        <v>119458.19123569905</v>
      </c>
      <c r="I828" s="787">
        <f>+J782*G828+E828</f>
        <v>119458.19123569905</v>
      </c>
      <c r="J828" s="784">
        <f t="shared" si="78"/>
        <v>0</v>
      </c>
      <c r="K828" s="784"/>
      <c r="L828" s="804"/>
      <c r="M828" s="784">
        <f t="shared" si="72"/>
        <v>0</v>
      </c>
      <c r="N828" s="804"/>
      <c r="O828" s="784">
        <f t="shared" si="73"/>
        <v>0</v>
      </c>
      <c r="P828" s="784">
        <f t="shared" si="74"/>
        <v>0</v>
      </c>
    </row>
    <row r="829" spans="3:16" ht="12.75">
      <c r="C829" s="780">
        <f>IF(D780="","-",+C828+1)</f>
        <v>2057</v>
      </c>
      <c r="D829" s="728">
        <f t="shared" si="75"/>
        <v>747031.27734375</v>
      </c>
      <c r="E829" s="781">
        <f t="shared" si="77"/>
        <v>34346.265625</v>
      </c>
      <c r="F829" s="781">
        <f t="shared" si="71"/>
        <v>712685.01171875</v>
      </c>
      <c r="G829" s="728">
        <f t="shared" si="76"/>
        <v>729858.14453125</v>
      </c>
      <c r="H829" s="786">
        <f>+J781*G829+E829</f>
        <v>115632.93615207213</v>
      </c>
      <c r="I829" s="787">
        <f>+J782*G829+E829</f>
        <v>115632.93615207213</v>
      </c>
      <c r="J829" s="784">
        <f t="shared" si="78"/>
        <v>0</v>
      </c>
      <c r="K829" s="784"/>
      <c r="L829" s="804"/>
      <c r="M829" s="784">
        <f t="shared" si="72"/>
        <v>0</v>
      </c>
      <c r="N829" s="804"/>
      <c r="O829" s="784">
        <f t="shared" si="73"/>
        <v>0</v>
      </c>
      <c r="P829" s="784">
        <f t="shared" si="74"/>
        <v>0</v>
      </c>
    </row>
    <row r="830" spans="3:16" ht="12.75">
      <c r="C830" s="780">
        <f>IF(D780="","-",+C829+1)</f>
        <v>2058</v>
      </c>
      <c r="D830" s="728">
        <f t="shared" si="75"/>
        <v>712685.01171875</v>
      </c>
      <c r="E830" s="781">
        <f t="shared" si="77"/>
        <v>34346.265625</v>
      </c>
      <c r="F830" s="781">
        <f t="shared" si="71"/>
        <v>678338.74609375</v>
      </c>
      <c r="G830" s="728">
        <f t="shared" si="76"/>
        <v>695511.87890625</v>
      </c>
      <c r="H830" s="786">
        <f>+J781*G830+E830</f>
        <v>111807.68106844519</v>
      </c>
      <c r="I830" s="787">
        <f>+J782*G830+E830</f>
        <v>111807.68106844519</v>
      </c>
      <c r="J830" s="784">
        <f t="shared" si="78"/>
        <v>0</v>
      </c>
      <c r="K830" s="784"/>
      <c r="L830" s="804"/>
      <c r="M830" s="784">
        <f t="shared" si="72"/>
        <v>0</v>
      </c>
      <c r="N830" s="804"/>
      <c r="O830" s="784">
        <f t="shared" si="73"/>
        <v>0</v>
      </c>
      <c r="P830" s="784">
        <f t="shared" si="74"/>
        <v>0</v>
      </c>
    </row>
    <row r="831" spans="3:16" ht="12.75">
      <c r="C831" s="780">
        <f>IF(D780="","-",+C830+1)</f>
        <v>2059</v>
      </c>
      <c r="D831" s="728">
        <f t="shared" si="75"/>
        <v>678338.74609375</v>
      </c>
      <c r="E831" s="781">
        <f t="shared" si="77"/>
        <v>34346.265625</v>
      </c>
      <c r="F831" s="781">
        <f t="shared" si="71"/>
        <v>643992.48046875</v>
      </c>
      <c r="G831" s="728">
        <f t="shared" si="76"/>
        <v>661165.61328125</v>
      </c>
      <c r="H831" s="786">
        <f>+J781*G831+E831</f>
        <v>107982.42598481827</v>
      </c>
      <c r="I831" s="787">
        <f>+J782*G831+E831</f>
        <v>107982.42598481827</v>
      </c>
      <c r="J831" s="784">
        <f t="shared" si="78"/>
        <v>0</v>
      </c>
      <c r="K831" s="784"/>
      <c r="L831" s="804"/>
      <c r="M831" s="784">
        <f t="shared" si="72"/>
        <v>0</v>
      </c>
      <c r="N831" s="804"/>
      <c r="O831" s="784">
        <f t="shared" si="73"/>
        <v>0</v>
      </c>
      <c r="P831" s="784">
        <f t="shared" si="74"/>
        <v>0</v>
      </c>
    </row>
    <row r="832" spans="3:16" ht="12.75">
      <c r="C832" s="780">
        <f>IF(D780="","-",+C831+1)</f>
        <v>2060</v>
      </c>
      <c r="D832" s="728">
        <f t="shared" si="75"/>
        <v>643992.48046875</v>
      </c>
      <c r="E832" s="781">
        <f t="shared" si="77"/>
        <v>34346.265625</v>
      </c>
      <c r="F832" s="781">
        <f t="shared" si="71"/>
        <v>609646.21484375</v>
      </c>
      <c r="G832" s="728">
        <f t="shared" si="76"/>
        <v>626819.34765625</v>
      </c>
      <c r="H832" s="786">
        <f>+J781*G832+E832</f>
        <v>104157.17090119135</v>
      </c>
      <c r="I832" s="787">
        <f>+J782*G832+E832</f>
        <v>104157.17090119135</v>
      </c>
      <c r="J832" s="784">
        <f t="shared" si="78"/>
        <v>0</v>
      </c>
      <c r="K832" s="784"/>
      <c r="L832" s="804"/>
      <c r="M832" s="784">
        <f t="shared" si="72"/>
        <v>0</v>
      </c>
      <c r="N832" s="804"/>
      <c r="O832" s="784">
        <f t="shared" si="73"/>
        <v>0</v>
      </c>
      <c r="P832" s="784">
        <f t="shared" si="74"/>
        <v>0</v>
      </c>
    </row>
    <row r="833" spans="3:16" ht="12.75">
      <c r="C833" s="780">
        <f>IF(D780="","-",+C832+1)</f>
        <v>2061</v>
      </c>
      <c r="D833" s="728">
        <f t="shared" si="75"/>
        <v>609646.21484375</v>
      </c>
      <c r="E833" s="781">
        <f t="shared" si="77"/>
        <v>34346.265625</v>
      </c>
      <c r="F833" s="781">
        <f t="shared" si="71"/>
        <v>575299.94921875</v>
      </c>
      <c r="G833" s="728">
        <f t="shared" si="76"/>
        <v>592473.08203125</v>
      </c>
      <c r="H833" s="786">
        <f>+J781*G833+E833</f>
        <v>100331.91581756443</v>
      </c>
      <c r="I833" s="787">
        <f>+J782*G833+E833</f>
        <v>100331.91581756443</v>
      </c>
      <c r="J833" s="784">
        <f t="shared" si="78"/>
        <v>0</v>
      </c>
      <c r="K833" s="784"/>
      <c r="L833" s="804"/>
      <c r="M833" s="784">
        <f t="shared" si="72"/>
        <v>0</v>
      </c>
      <c r="N833" s="804"/>
      <c r="O833" s="784">
        <f t="shared" si="73"/>
        <v>0</v>
      </c>
      <c r="P833" s="784">
        <f t="shared" si="74"/>
        <v>0</v>
      </c>
    </row>
    <row r="834" spans="3:16" ht="12.75">
      <c r="C834" s="780">
        <f>IF(D780="","-",+C833+1)</f>
        <v>2062</v>
      </c>
      <c r="D834" s="728">
        <f t="shared" si="75"/>
        <v>575299.94921875</v>
      </c>
      <c r="E834" s="781">
        <f t="shared" si="77"/>
        <v>34346.265625</v>
      </c>
      <c r="F834" s="781">
        <f t="shared" si="71"/>
        <v>540953.68359375</v>
      </c>
      <c r="G834" s="728">
        <f t="shared" si="76"/>
        <v>558126.81640625</v>
      </c>
      <c r="H834" s="786">
        <f>+J781*G834+E834</f>
        <v>96506.6607339375</v>
      </c>
      <c r="I834" s="787">
        <f>+J782*G834+E834</f>
        <v>96506.6607339375</v>
      </c>
      <c r="J834" s="784">
        <f t="shared" si="78"/>
        <v>0</v>
      </c>
      <c r="K834" s="784"/>
      <c r="L834" s="804"/>
      <c r="M834" s="784">
        <f t="shared" si="72"/>
        <v>0</v>
      </c>
      <c r="N834" s="804"/>
      <c r="O834" s="784">
        <f t="shared" si="73"/>
        <v>0</v>
      </c>
      <c r="P834" s="784">
        <f t="shared" si="74"/>
        <v>0</v>
      </c>
    </row>
    <row r="835" spans="3:16" ht="12.75">
      <c r="C835" s="780">
        <f>IF(D780="","-",+C834+1)</f>
        <v>2063</v>
      </c>
      <c r="D835" s="728">
        <f t="shared" si="75"/>
        <v>540953.68359375</v>
      </c>
      <c r="E835" s="781">
        <f t="shared" si="77"/>
        <v>34346.265625</v>
      </c>
      <c r="F835" s="781">
        <f t="shared" si="71"/>
        <v>506607.41796875</v>
      </c>
      <c r="G835" s="728">
        <f t="shared" si="76"/>
        <v>523780.55078125</v>
      </c>
      <c r="H835" s="786">
        <f>+J781*G835+E835</f>
        <v>92681.40565031058</v>
      </c>
      <c r="I835" s="787">
        <f>+J782*G835+E835</f>
        <v>92681.40565031058</v>
      </c>
      <c r="J835" s="784">
        <f t="shared" si="78"/>
        <v>0</v>
      </c>
      <c r="K835" s="784"/>
      <c r="L835" s="804"/>
      <c r="M835" s="784">
        <f t="shared" si="72"/>
        <v>0</v>
      </c>
      <c r="N835" s="804"/>
      <c r="O835" s="784">
        <f t="shared" si="73"/>
        <v>0</v>
      </c>
      <c r="P835" s="784">
        <f t="shared" si="74"/>
        <v>0</v>
      </c>
    </row>
    <row r="836" spans="3:16" ht="12.75">
      <c r="C836" s="780">
        <f>IF(D780="","-",+C835+1)</f>
        <v>2064</v>
      </c>
      <c r="D836" s="728">
        <f t="shared" si="75"/>
        <v>506607.41796875</v>
      </c>
      <c r="E836" s="781">
        <f t="shared" si="77"/>
        <v>34346.265625</v>
      </c>
      <c r="F836" s="781">
        <f t="shared" si="71"/>
        <v>472261.15234375</v>
      </c>
      <c r="G836" s="728">
        <f t="shared" si="76"/>
        <v>489434.28515625</v>
      </c>
      <c r="H836" s="786">
        <f>+J781*G836+E836</f>
        <v>88856.15056668366</v>
      </c>
      <c r="I836" s="787">
        <f>+J782*G836+E836</f>
        <v>88856.15056668366</v>
      </c>
      <c r="J836" s="784">
        <f t="shared" si="78"/>
        <v>0</v>
      </c>
      <c r="K836" s="784"/>
      <c r="L836" s="804"/>
      <c r="M836" s="784">
        <f t="shared" si="72"/>
        <v>0</v>
      </c>
      <c r="N836" s="804"/>
      <c r="O836" s="784">
        <f t="shared" si="73"/>
        <v>0</v>
      </c>
      <c r="P836" s="784">
        <f t="shared" si="74"/>
        <v>0</v>
      </c>
    </row>
    <row r="837" spans="3:16" ht="12.75">
      <c r="C837" s="780">
        <f>IF(D780="","-",+C836+1)</f>
        <v>2065</v>
      </c>
      <c r="D837" s="728">
        <f t="shared" si="75"/>
        <v>472261.15234375</v>
      </c>
      <c r="E837" s="781">
        <f t="shared" si="77"/>
        <v>34346.265625</v>
      </c>
      <c r="F837" s="781">
        <f t="shared" si="71"/>
        <v>437914.88671875</v>
      </c>
      <c r="G837" s="728">
        <f t="shared" si="76"/>
        <v>455088.01953125</v>
      </c>
      <c r="H837" s="786">
        <f>+J781*G837+E837</f>
        <v>85030.89548305674</v>
      </c>
      <c r="I837" s="787">
        <f>+J782*G837+E837</f>
        <v>85030.89548305674</v>
      </c>
      <c r="J837" s="784">
        <f t="shared" si="78"/>
        <v>0</v>
      </c>
      <c r="K837" s="784"/>
      <c r="L837" s="804"/>
      <c r="M837" s="784">
        <f t="shared" si="72"/>
        <v>0</v>
      </c>
      <c r="N837" s="804"/>
      <c r="O837" s="784">
        <f t="shared" si="73"/>
        <v>0</v>
      </c>
      <c r="P837" s="784">
        <f t="shared" si="74"/>
        <v>0</v>
      </c>
    </row>
    <row r="838" spans="3:16" ht="12.75">
      <c r="C838" s="780">
        <f>IF(D780="","-",+C837+1)</f>
        <v>2066</v>
      </c>
      <c r="D838" s="728">
        <f t="shared" si="75"/>
        <v>437914.88671875</v>
      </c>
      <c r="E838" s="781">
        <f t="shared" si="77"/>
        <v>34346.265625</v>
      </c>
      <c r="F838" s="781">
        <f t="shared" si="71"/>
        <v>403568.62109375</v>
      </c>
      <c r="G838" s="728">
        <f t="shared" si="76"/>
        <v>420741.75390625</v>
      </c>
      <c r="H838" s="786">
        <f>+J781*G838+E838</f>
        <v>81205.6403994298</v>
      </c>
      <c r="I838" s="787">
        <f>+J782*G838+E838</f>
        <v>81205.6403994298</v>
      </c>
      <c r="J838" s="784">
        <f t="shared" si="78"/>
        <v>0</v>
      </c>
      <c r="K838" s="784"/>
      <c r="L838" s="804"/>
      <c r="M838" s="784">
        <f t="shared" si="72"/>
        <v>0</v>
      </c>
      <c r="N838" s="804"/>
      <c r="O838" s="784">
        <f t="shared" si="73"/>
        <v>0</v>
      </c>
      <c r="P838" s="784">
        <f t="shared" si="74"/>
        <v>0</v>
      </c>
    </row>
    <row r="839" spans="3:16" ht="12.75">
      <c r="C839" s="780">
        <f>IF(D780="","-",+C838+1)</f>
        <v>2067</v>
      </c>
      <c r="D839" s="728">
        <f t="shared" si="75"/>
        <v>403568.62109375</v>
      </c>
      <c r="E839" s="781">
        <f t="shared" si="77"/>
        <v>34346.265625</v>
      </c>
      <c r="F839" s="781">
        <f t="shared" si="71"/>
        <v>369222.35546875</v>
      </c>
      <c r="G839" s="728">
        <f t="shared" si="76"/>
        <v>386395.48828125</v>
      </c>
      <c r="H839" s="786">
        <f>+J781*G839+E839</f>
        <v>77380.38531580288</v>
      </c>
      <c r="I839" s="787">
        <f>+J782*G839+E839</f>
        <v>77380.38531580288</v>
      </c>
      <c r="J839" s="784">
        <f t="shared" si="78"/>
        <v>0</v>
      </c>
      <c r="K839" s="784"/>
      <c r="L839" s="804"/>
      <c r="M839" s="784">
        <f t="shared" si="72"/>
        <v>0</v>
      </c>
      <c r="N839" s="804"/>
      <c r="O839" s="784">
        <f t="shared" si="73"/>
        <v>0</v>
      </c>
      <c r="P839" s="784">
        <f t="shared" si="74"/>
        <v>0</v>
      </c>
    </row>
    <row r="840" spans="3:16" ht="12.75">
      <c r="C840" s="780">
        <f>IF(D780="","-",+C839+1)</f>
        <v>2068</v>
      </c>
      <c r="D840" s="728">
        <f aca="true" t="shared" si="79" ref="D840:D845">F839</f>
        <v>369222.35546875</v>
      </c>
      <c r="E840" s="781">
        <f t="shared" si="77"/>
        <v>34346.265625</v>
      </c>
      <c r="F840" s="781">
        <f t="shared" si="71"/>
        <v>334876.08984375</v>
      </c>
      <c r="G840" s="728">
        <f t="shared" si="76"/>
        <v>352049.22265625</v>
      </c>
      <c r="H840" s="786">
        <f>+J781*G840+E840</f>
        <v>73555.13023217596</v>
      </c>
      <c r="I840" s="787">
        <f>+J782*G840+E840</f>
        <v>73555.13023217596</v>
      </c>
      <c r="J840" s="784">
        <f t="shared" si="78"/>
        <v>0</v>
      </c>
      <c r="K840" s="784"/>
      <c r="L840" s="804"/>
      <c r="M840" s="784">
        <f t="shared" si="72"/>
        <v>0</v>
      </c>
      <c r="N840" s="804"/>
      <c r="O840" s="784">
        <f t="shared" si="73"/>
        <v>0</v>
      </c>
      <c r="P840" s="784">
        <f t="shared" si="74"/>
        <v>0</v>
      </c>
    </row>
    <row r="841" spans="3:16" ht="12.75">
      <c r="C841" s="780">
        <f>IF(D780="","-",+C840+1)</f>
        <v>2069</v>
      </c>
      <c r="D841" s="728">
        <f t="shared" si="79"/>
        <v>334876.08984375</v>
      </c>
      <c r="E841" s="781">
        <f t="shared" si="77"/>
        <v>34346.265625</v>
      </c>
      <c r="F841" s="781">
        <f t="shared" si="71"/>
        <v>300529.82421875</v>
      </c>
      <c r="G841" s="728">
        <f t="shared" si="76"/>
        <v>317702.95703125</v>
      </c>
      <c r="H841" s="786">
        <f>+J781*G841+E841</f>
        <v>69729.87514854904</v>
      </c>
      <c r="I841" s="787">
        <f>+J782*G841+E841</f>
        <v>69729.87514854904</v>
      </c>
      <c r="J841" s="784">
        <f t="shared" si="78"/>
        <v>0</v>
      </c>
      <c r="K841" s="784"/>
      <c r="L841" s="804"/>
      <c r="M841" s="784">
        <f t="shared" si="72"/>
        <v>0</v>
      </c>
      <c r="N841" s="804"/>
      <c r="O841" s="784">
        <f t="shared" si="73"/>
        <v>0</v>
      </c>
      <c r="P841" s="784">
        <f t="shared" si="74"/>
        <v>0</v>
      </c>
    </row>
    <row r="842" spans="3:16" ht="12.75">
      <c r="C842" s="780">
        <f>IF(D780="","-",+C841+1)</f>
        <v>2070</v>
      </c>
      <c r="D842" s="728">
        <f t="shared" si="79"/>
        <v>300529.82421875</v>
      </c>
      <c r="E842" s="781">
        <f t="shared" si="77"/>
        <v>34346.265625</v>
      </c>
      <c r="F842" s="781">
        <f t="shared" si="71"/>
        <v>266183.55859375</v>
      </c>
      <c r="G842" s="728">
        <f t="shared" si="76"/>
        <v>283356.69140625</v>
      </c>
      <c r="H842" s="786">
        <f>+J781*G842+E842</f>
        <v>65904.62006492211</v>
      </c>
      <c r="I842" s="787">
        <f>+J782*G842+E842</f>
        <v>65904.62006492211</v>
      </c>
      <c r="J842" s="784">
        <f t="shared" si="78"/>
        <v>0</v>
      </c>
      <c r="K842" s="784"/>
      <c r="L842" s="804"/>
      <c r="M842" s="784">
        <f t="shared" si="72"/>
        <v>0</v>
      </c>
      <c r="N842" s="804"/>
      <c r="O842" s="784">
        <f t="shared" si="73"/>
        <v>0</v>
      </c>
      <c r="P842" s="784">
        <f t="shared" si="74"/>
        <v>0</v>
      </c>
    </row>
    <row r="843" spans="3:16" ht="12.75">
      <c r="C843" s="780">
        <f>IF(D780="","-",+C842+1)</f>
        <v>2071</v>
      </c>
      <c r="D843" s="728">
        <f t="shared" si="79"/>
        <v>266183.55859375</v>
      </c>
      <c r="E843" s="781">
        <f t="shared" si="77"/>
        <v>34346.265625</v>
      </c>
      <c r="F843" s="781">
        <f t="shared" si="71"/>
        <v>231837.29296875</v>
      </c>
      <c r="G843" s="728">
        <f t="shared" si="76"/>
        <v>249010.42578125</v>
      </c>
      <c r="H843" s="786">
        <f>+J781*G843+E843</f>
        <v>62079.36498129519</v>
      </c>
      <c r="I843" s="787">
        <f>+J782*G843+E843</f>
        <v>62079.36498129519</v>
      </c>
      <c r="J843" s="784">
        <f t="shared" si="78"/>
        <v>0</v>
      </c>
      <c r="K843" s="784"/>
      <c r="L843" s="804"/>
      <c r="M843" s="784">
        <f t="shared" si="72"/>
        <v>0</v>
      </c>
      <c r="N843" s="804"/>
      <c r="O843" s="784">
        <f t="shared" si="73"/>
        <v>0</v>
      </c>
      <c r="P843" s="784">
        <f t="shared" si="74"/>
        <v>0</v>
      </c>
    </row>
    <row r="844" spans="3:16" ht="12.75">
      <c r="C844" s="780">
        <f>IF(D780="","-",+C843+1)</f>
        <v>2072</v>
      </c>
      <c r="D844" s="728">
        <f t="shared" si="79"/>
        <v>231837.29296875</v>
      </c>
      <c r="E844" s="781">
        <f t="shared" si="77"/>
        <v>34346.265625</v>
      </c>
      <c r="F844" s="781">
        <f t="shared" si="71"/>
        <v>197491.02734375</v>
      </c>
      <c r="G844" s="728">
        <f t="shared" si="76"/>
        <v>214664.16015625</v>
      </c>
      <c r="H844" s="786">
        <f>+J781*G844+E844</f>
        <v>58254.10989766827</v>
      </c>
      <c r="I844" s="787">
        <f>+J782*G844+E844</f>
        <v>58254.10989766827</v>
      </c>
      <c r="J844" s="784">
        <f t="shared" si="78"/>
        <v>0</v>
      </c>
      <c r="K844" s="784"/>
      <c r="L844" s="804"/>
      <c r="M844" s="784">
        <f t="shared" si="72"/>
        <v>0</v>
      </c>
      <c r="N844" s="804"/>
      <c r="O844" s="784">
        <f t="shared" si="73"/>
        <v>0</v>
      </c>
      <c r="P844" s="784">
        <f t="shared" si="74"/>
        <v>0</v>
      </c>
    </row>
    <row r="845" spans="3:16" ht="13.5" thickBot="1">
      <c r="C845" s="790">
        <f>IF(D780="","-",+C844+1)</f>
        <v>2073</v>
      </c>
      <c r="D845" s="791">
        <f t="shared" si="79"/>
        <v>197491.02734375</v>
      </c>
      <c r="E845" s="781">
        <f t="shared" si="77"/>
        <v>34346.265625</v>
      </c>
      <c r="F845" s="792">
        <f t="shared" si="71"/>
        <v>163144.76171875</v>
      </c>
      <c r="G845" s="791">
        <f t="shared" si="76"/>
        <v>180317.89453125</v>
      </c>
      <c r="H845" s="793">
        <f>+J781*G845+E845</f>
        <v>54428.85481404135</v>
      </c>
      <c r="I845" s="793">
        <f>+J782*G845+E845</f>
        <v>54428.85481404135</v>
      </c>
      <c r="J845" s="794">
        <f t="shared" si="78"/>
        <v>0</v>
      </c>
      <c r="K845" s="784"/>
      <c r="L845" s="805"/>
      <c r="M845" s="794">
        <f t="shared" si="72"/>
        <v>0</v>
      </c>
      <c r="N845" s="805"/>
      <c r="O845" s="794">
        <f t="shared" si="73"/>
        <v>0</v>
      </c>
      <c r="P845" s="794">
        <f t="shared" si="74"/>
        <v>0</v>
      </c>
    </row>
    <row r="846" spans="3:15" ht="12.75">
      <c r="C846" s="728" t="s">
        <v>92</v>
      </c>
      <c r="D846" s="722"/>
      <c r="E846" s="722">
        <f>SUM(E786:E845)</f>
        <v>2035016.23828125</v>
      </c>
      <c r="F846" s="722"/>
      <c r="G846" s="722"/>
      <c r="H846" s="722">
        <f>SUM(H786:H845)</f>
        <v>10009238.616987025</v>
      </c>
      <c r="I846" s="722">
        <f>SUM(I786:I845)</f>
        <v>10009238.616987025</v>
      </c>
      <c r="J846" s="722">
        <f>SUM(J786:J845)</f>
        <v>0</v>
      </c>
      <c r="K846" s="722"/>
      <c r="L846" s="722"/>
      <c r="M846" s="722"/>
      <c r="N846" s="722"/>
      <c r="O846" s="722"/>
    </row>
    <row r="847" spans="4:15" ht="12.75">
      <c r="D847" s="532"/>
      <c r="E847" s="308"/>
      <c r="F847" s="308"/>
      <c r="G847" s="308"/>
      <c r="H847" s="308"/>
      <c r="I847" s="701"/>
      <c r="J847" s="701"/>
      <c r="K847" s="722"/>
      <c r="L847" s="701"/>
      <c r="M847" s="701"/>
      <c r="N847" s="701"/>
      <c r="O847" s="701"/>
    </row>
    <row r="848" spans="3:15" ht="12.75">
      <c r="C848" s="308" t="s">
        <v>14</v>
      </c>
      <c r="D848" s="532"/>
      <c r="E848" s="308"/>
      <c r="F848" s="308"/>
      <c r="G848" s="308"/>
      <c r="H848" s="308"/>
      <c r="I848" s="701"/>
      <c r="J848" s="701"/>
      <c r="K848" s="722"/>
      <c r="L848" s="701"/>
      <c r="M848" s="701"/>
      <c r="N848" s="701"/>
      <c r="O848" s="701"/>
    </row>
    <row r="849" spans="3:15" ht="12.75">
      <c r="C849" s="308"/>
      <c r="D849" s="532"/>
      <c r="E849" s="308"/>
      <c r="F849" s="308"/>
      <c r="G849" s="308"/>
      <c r="H849" s="308"/>
      <c r="I849" s="701"/>
      <c r="J849" s="701"/>
      <c r="K849" s="722"/>
      <c r="L849" s="701"/>
      <c r="M849" s="701"/>
      <c r="N849" s="701"/>
      <c r="O849" s="701"/>
    </row>
    <row r="850" spans="3:15" ht="12.75">
      <c r="C850" s="741" t="s">
        <v>15</v>
      </c>
      <c r="D850" s="728"/>
      <c r="E850" s="728"/>
      <c r="F850" s="728"/>
      <c r="G850" s="728"/>
      <c r="H850" s="722"/>
      <c r="I850" s="722"/>
      <c r="J850" s="796"/>
      <c r="K850" s="796"/>
      <c r="L850" s="796"/>
      <c r="M850" s="796"/>
      <c r="N850" s="796"/>
      <c r="O850" s="796"/>
    </row>
    <row r="851" spans="3:15" ht="12.75">
      <c r="C851" s="727" t="s">
        <v>272</v>
      </c>
      <c r="D851" s="728"/>
      <c r="E851" s="728"/>
      <c r="F851" s="728"/>
      <c r="G851" s="728"/>
      <c r="H851" s="722"/>
      <c r="I851" s="722"/>
      <c r="J851" s="796"/>
      <c r="K851" s="796"/>
      <c r="L851" s="796"/>
      <c r="M851" s="796"/>
      <c r="N851" s="796"/>
      <c r="O851" s="796"/>
    </row>
    <row r="852" spans="3:15" ht="12.75">
      <c r="C852" s="727" t="s">
        <v>93</v>
      </c>
      <c r="D852" s="728"/>
      <c r="E852" s="728"/>
      <c r="F852" s="728"/>
      <c r="G852" s="728"/>
      <c r="H852" s="722"/>
      <c r="I852" s="722"/>
      <c r="J852" s="796"/>
      <c r="K852" s="796"/>
      <c r="L852" s="796"/>
      <c r="M852" s="796"/>
      <c r="N852" s="796"/>
      <c r="O852" s="796"/>
    </row>
    <row r="853" spans="1:17" ht="20.25">
      <c r="A853" s="729" t="str">
        <f>""&amp;A778&amp;" Worksheet K -  ATRR TRUE-UP Calculation for PJM Projects Charged to Benefiting Zones"</f>
        <v> Worksheet K -  ATRR TRUE-UP Calculation for PJM Projects Charged to Benefiting Zones</v>
      </c>
      <c r="B853" s="341"/>
      <c r="C853" s="717"/>
      <c r="D853" s="532"/>
      <c r="E853" s="308"/>
      <c r="F853" s="700"/>
      <c r="G853" s="700"/>
      <c r="H853" s="308"/>
      <c r="I853" s="701"/>
      <c r="L853" s="557"/>
      <c r="M853" s="557"/>
      <c r="N853" s="557"/>
      <c r="O853" s="646" t="str">
        <f>"Page "&amp;SUM(Q$6:Q853)&amp;" of "</f>
        <v>Page 11 of </v>
      </c>
      <c r="P853" s="647">
        <f>COUNT(Q$6:Q$58387)</f>
        <v>12</v>
      </c>
      <c r="Q853" s="730">
        <v>1</v>
      </c>
    </row>
    <row r="854" spans="2:11" ht="12.75">
      <c r="B854" s="341"/>
      <c r="C854" s="308"/>
      <c r="D854" s="532"/>
      <c r="E854" s="308"/>
      <c r="F854" s="308"/>
      <c r="G854" s="308"/>
      <c r="H854" s="308"/>
      <c r="I854" s="701"/>
      <c r="J854" s="308"/>
      <c r="K854" s="420"/>
    </row>
    <row r="855" spans="2:17" ht="18">
      <c r="B855" s="650" t="s">
        <v>475</v>
      </c>
      <c r="C855" s="731" t="s">
        <v>94</v>
      </c>
      <c r="D855" s="532"/>
      <c r="E855" s="308"/>
      <c r="F855" s="308"/>
      <c r="G855" s="308"/>
      <c r="H855" s="308"/>
      <c r="I855" s="701"/>
      <c r="J855" s="701"/>
      <c r="K855" s="722"/>
      <c r="L855" s="701"/>
      <c r="M855" s="701"/>
      <c r="N855" s="701"/>
      <c r="O855" s="701"/>
      <c r="Q855" s="420"/>
    </row>
    <row r="856" spans="2:15" ht="18.75">
      <c r="B856" s="650"/>
      <c r="C856" s="649"/>
      <c r="D856" s="532"/>
      <c r="E856" s="308"/>
      <c r="F856" s="308"/>
      <c r="G856" s="308"/>
      <c r="H856" s="308"/>
      <c r="I856" s="701"/>
      <c r="J856" s="701"/>
      <c r="K856" s="722"/>
      <c r="L856" s="701"/>
      <c r="M856" s="701"/>
      <c r="N856" s="701"/>
      <c r="O856" s="701"/>
    </row>
    <row r="857" spans="2:15" ht="18.75">
      <c r="B857" s="650"/>
      <c r="C857" s="649" t="s">
        <v>95</v>
      </c>
      <c r="D857" s="532"/>
      <c r="E857" s="308"/>
      <c r="F857" s="308"/>
      <c r="G857" s="308"/>
      <c r="H857" s="308"/>
      <c r="I857" s="701"/>
      <c r="J857" s="701"/>
      <c r="K857" s="722"/>
      <c r="L857" s="701"/>
      <c r="M857" s="701"/>
      <c r="N857" s="701"/>
      <c r="O857" s="701"/>
    </row>
    <row r="858" spans="3:15" ht="15.75" thickBot="1">
      <c r="C858" s="236"/>
      <c r="D858" s="532"/>
      <c r="E858" s="308"/>
      <c r="F858" s="308"/>
      <c r="G858" s="308"/>
      <c r="H858" s="308"/>
      <c r="I858" s="701"/>
      <c r="J858" s="701"/>
      <c r="K858" s="722"/>
      <c r="L858" s="701"/>
      <c r="M858" s="701"/>
      <c r="N858" s="701"/>
      <c r="O858" s="701"/>
    </row>
    <row r="859" spans="3:15" ht="15.75">
      <c r="C859" s="652" t="s">
        <v>96</v>
      </c>
      <c r="D859" s="532"/>
      <c r="E859" s="308"/>
      <c r="F859" s="308"/>
      <c r="G859" s="308"/>
      <c r="H859" s="798"/>
      <c r="I859" s="308" t="s">
        <v>75</v>
      </c>
      <c r="J859" s="308"/>
      <c r="K859" s="420"/>
      <c r="L859" s="827">
        <f>+J865</f>
        <v>2017</v>
      </c>
      <c r="M859" s="808" t="s">
        <v>53</v>
      </c>
      <c r="N859" s="808" t="s">
        <v>54</v>
      </c>
      <c r="O859" s="809" t="s">
        <v>56</v>
      </c>
    </row>
    <row r="860" spans="3:15" ht="15.75">
      <c r="C860" s="652"/>
      <c r="D860" s="532"/>
      <c r="E860" s="308"/>
      <c r="F860" s="308"/>
      <c r="H860" s="308"/>
      <c r="I860" s="736"/>
      <c r="J860" s="736"/>
      <c r="K860" s="737"/>
      <c r="L860" s="828" t="s">
        <v>244</v>
      </c>
      <c r="M860" s="829">
        <f>VLOOKUP(J865,C872:P931,10)</f>
        <v>781130</v>
      </c>
      <c r="N860" s="829">
        <f>VLOOKUP(J865,C872:P931,12)</f>
        <v>781130</v>
      </c>
      <c r="O860" s="830">
        <f>+N860-M860</f>
        <v>0</v>
      </c>
    </row>
    <row r="861" spans="3:15" ht="12.75" customHeight="1">
      <c r="C861" s="741" t="s">
        <v>97</v>
      </c>
      <c r="D861" s="1472" t="s">
        <v>922</v>
      </c>
      <c r="E861" s="1472"/>
      <c r="F861" s="1472"/>
      <c r="G861" s="1472"/>
      <c r="H861" s="1472"/>
      <c r="I861" s="1472"/>
      <c r="J861" s="1472"/>
      <c r="K861" s="722"/>
      <c r="L861" s="828" t="s">
        <v>245</v>
      </c>
      <c r="M861" s="831">
        <f>VLOOKUP(J865,C872:P931,6)</f>
        <v>1443114.1085713785</v>
      </c>
      <c r="N861" s="831">
        <f>VLOOKUP(J865,C872:P931,7)</f>
        <v>1443114.1085713785</v>
      </c>
      <c r="O861" s="832">
        <f>+N861-M861</f>
        <v>0</v>
      </c>
    </row>
    <row r="862" spans="3:15" ht="13.5" thickBot="1">
      <c r="C862" s="745"/>
      <c r="D862" s="1472"/>
      <c r="E862" s="1472"/>
      <c r="F862" s="1472"/>
      <c r="G862" s="1472"/>
      <c r="H862" s="1472"/>
      <c r="I862" s="1472"/>
      <c r="J862" s="1472"/>
      <c r="K862" s="722"/>
      <c r="L862" s="764" t="s">
        <v>246</v>
      </c>
      <c r="M862" s="833">
        <f>+M861-M860</f>
        <v>661984.1085713785</v>
      </c>
      <c r="N862" s="833">
        <f>+N861-N860</f>
        <v>661984.1085713785</v>
      </c>
      <c r="O862" s="834">
        <f>+O861-O860</f>
        <v>0</v>
      </c>
    </row>
    <row r="863" spans="3:16" ht="13.5" thickBot="1">
      <c r="C863" s="748"/>
      <c r="D863" s="749"/>
      <c r="E863" s="747"/>
      <c r="F863" s="747"/>
      <c r="G863" s="747"/>
      <c r="H863" s="747"/>
      <c r="I863" s="747"/>
      <c r="J863" s="747"/>
      <c r="K863" s="750"/>
      <c r="L863" s="747"/>
      <c r="M863" s="747"/>
      <c r="N863" s="747"/>
      <c r="O863" s="747"/>
      <c r="P863" s="341"/>
    </row>
    <row r="864" spans="3:16" ht="13.5" thickBot="1">
      <c r="C864" s="751" t="s">
        <v>98</v>
      </c>
      <c r="D864" s="752"/>
      <c r="E864" s="752"/>
      <c r="F864" s="752"/>
      <c r="G864" s="752"/>
      <c r="H864" s="752"/>
      <c r="I864" s="752"/>
      <c r="J864" s="752"/>
      <c r="K864" s="754"/>
      <c r="P864" s="755"/>
    </row>
    <row r="865" spans="3:16" ht="15">
      <c r="C865" s="756" t="s">
        <v>76</v>
      </c>
      <c r="D865" s="1381">
        <v>12409450</v>
      </c>
      <c r="E865" s="717" t="s">
        <v>77</v>
      </c>
      <c r="H865" s="757"/>
      <c r="I865" s="757"/>
      <c r="J865" s="758">
        <v>2017</v>
      </c>
      <c r="K865" s="548"/>
      <c r="L865" s="1462" t="s">
        <v>78</v>
      </c>
      <c r="M865" s="1462"/>
      <c r="N865" s="1462"/>
      <c r="O865" s="1462"/>
      <c r="P865" s="420"/>
    </row>
    <row r="866" spans="3:16" ht="12.75">
      <c r="C866" s="756" t="s">
        <v>79</v>
      </c>
      <c r="D866" s="1382">
        <v>2017</v>
      </c>
      <c r="E866" s="756" t="s">
        <v>80</v>
      </c>
      <c r="F866" s="757"/>
      <c r="G866" s="757"/>
      <c r="I866" s="169"/>
      <c r="J866" s="802">
        <f>IF(H859="",0,$F$15)</f>
        <v>0</v>
      </c>
      <c r="K866" s="759"/>
      <c r="L866" s="722" t="s">
        <v>286</v>
      </c>
      <c r="P866" s="420"/>
    </row>
    <row r="867" spans="3:16" ht="12.75">
      <c r="C867" s="756" t="s">
        <v>81</v>
      </c>
      <c r="D867" s="1381">
        <v>8</v>
      </c>
      <c r="E867" s="756" t="s">
        <v>82</v>
      </c>
      <c r="F867" s="757"/>
      <c r="G867" s="757"/>
      <c r="I867" s="169"/>
      <c r="J867" s="760">
        <f>$F$68</f>
        <v>0.11137324579597359</v>
      </c>
      <c r="K867" s="761"/>
      <c r="L867" s="308" t="str">
        <f>"          INPUT TRUE-UP ARR (WITH &amp; WITHOUT INCENTIVES) FROM EACH PRIOR YEAR"</f>
        <v>          INPUT TRUE-UP ARR (WITH &amp; WITHOUT INCENTIVES) FROM EACH PRIOR YEAR</v>
      </c>
      <c r="P867" s="420"/>
    </row>
    <row r="868" spans="3:16" ht="12.75">
      <c r="C868" s="756" t="s">
        <v>83</v>
      </c>
      <c r="D868" s="762">
        <f>H$77</f>
        <v>64</v>
      </c>
      <c r="E868" s="756" t="s">
        <v>84</v>
      </c>
      <c r="F868" s="757"/>
      <c r="G868" s="757"/>
      <c r="I868" s="169"/>
      <c r="J868" s="760">
        <f>IF(H859="",+J867,$F$67)</f>
        <v>0.11137324579597359</v>
      </c>
      <c r="K868" s="763"/>
      <c r="L868" s="308" t="s">
        <v>166</v>
      </c>
      <c r="M868" s="763"/>
      <c r="N868" s="763"/>
      <c r="O868" s="763"/>
      <c r="P868" s="420"/>
    </row>
    <row r="869" spans="3:16" ht="13.5" thickBot="1">
      <c r="C869" s="756" t="s">
        <v>85</v>
      </c>
      <c r="D869" s="799" t="s">
        <v>877</v>
      </c>
      <c r="E869" s="764" t="s">
        <v>86</v>
      </c>
      <c r="F869" s="765"/>
      <c r="G869" s="765"/>
      <c r="H869" s="766"/>
      <c r="I869" s="766"/>
      <c r="J869" s="744">
        <f>IF(D865=0,0,D865/D868)</f>
        <v>193897.65625</v>
      </c>
      <c r="K869" s="722"/>
      <c r="L869" s="722" t="s">
        <v>167</v>
      </c>
      <c r="M869" s="722"/>
      <c r="N869" s="722"/>
      <c r="O869" s="722"/>
      <c r="P869" s="420"/>
    </row>
    <row r="870" spans="2:16" ht="38.25">
      <c r="B870" s="837"/>
      <c r="C870" s="767" t="s">
        <v>76</v>
      </c>
      <c r="D870" s="768" t="s">
        <v>87</v>
      </c>
      <c r="E870" s="769" t="s">
        <v>88</v>
      </c>
      <c r="F870" s="768" t="s">
        <v>89</v>
      </c>
      <c r="G870" s="768" t="s">
        <v>247</v>
      </c>
      <c r="H870" s="769" t="s">
        <v>160</v>
      </c>
      <c r="I870" s="770" t="s">
        <v>160</v>
      </c>
      <c r="J870" s="767" t="s">
        <v>99</v>
      </c>
      <c r="K870" s="771"/>
      <c r="L870" s="769" t="s">
        <v>162</v>
      </c>
      <c r="M870" s="769" t="s">
        <v>168</v>
      </c>
      <c r="N870" s="769" t="s">
        <v>162</v>
      </c>
      <c r="O870" s="769" t="s">
        <v>170</v>
      </c>
      <c r="P870" s="769" t="s">
        <v>90</v>
      </c>
    </row>
    <row r="871" spans="3:16" ht="13.5" thickBot="1">
      <c r="C871" s="773" t="s">
        <v>478</v>
      </c>
      <c r="D871" s="774" t="s">
        <v>479</v>
      </c>
      <c r="E871" s="773" t="s">
        <v>372</v>
      </c>
      <c r="F871" s="774" t="s">
        <v>479</v>
      </c>
      <c r="G871" s="774" t="s">
        <v>479</v>
      </c>
      <c r="H871" s="775" t="s">
        <v>102</v>
      </c>
      <c r="I871" s="776" t="s">
        <v>104</v>
      </c>
      <c r="J871" s="777" t="s">
        <v>16</v>
      </c>
      <c r="K871" s="778"/>
      <c r="L871" s="775" t="s">
        <v>91</v>
      </c>
      <c r="M871" s="775" t="s">
        <v>91</v>
      </c>
      <c r="N871" s="775" t="s">
        <v>264</v>
      </c>
      <c r="O871" s="775" t="s">
        <v>264</v>
      </c>
      <c r="P871" s="775" t="s">
        <v>264</v>
      </c>
    </row>
    <row r="872" spans="3:16" ht="12.75">
      <c r="C872" s="1383">
        <f>IF(D866="","-",D866)</f>
        <v>2017</v>
      </c>
      <c r="D872" s="728">
        <f>+D865</f>
        <v>12409450</v>
      </c>
      <c r="E872" s="786">
        <f>+J869/12*(12-D867)</f>
        <v>64632.552083333336</v>
      </c>
      <c r="F872" s="835">
        <f aca="true" t="shared" si="80" ref="F872:F931">+D872-E872</f>
        <v>12344817.447916666</v>
      </c>
      <c r="G872" s="728">
        <f>+(D872+F872)/2</f>
        <v>12377133.723958332</v>
      </c>
      <c r="H872" s="782">
        <f>+J867*G872+E872</f>
        <v>1443114.1085713785</v>
      </c>
      <c r="I872" s="783">
        <f>+J868*G872+E872</f>
        <v>1443114.1085713785</v>
      </c>
      <c r="J872" s="784">
        <f>+I872-H872</f>
        <v>0</v>
      </c>
      <c r="K872" s="784"/>
      <c r="L872" s="803">
        <v>781130</v>
      </c>
      <c r="M872" s="836">
        <f aca="true" t="shared" si="81" ref="M872:M931">IF(L872&lt;&gt;0,+H872-L872,0)</f>
        <v>661984.1085713785</v>
      </c>
      <c r="N872" s="803">
        <v>781130</v>
      </c>
      <c r="O872" s="836">
        <f aca="true" t="shared" si="82" ref="O872:O931">IF(N872&lt;&gt;0,+I872-N872,0)</f>
        <v>661984.1085713785</v>
      </c>
      <c r="P872" s="836">
        <f aca="true" t="shared" si="83" ref="P872:P931">+O872-M872</f>
        <v>0</v>
      </c>
    </row>
    <row r="873" spans="3:16" ht="12.75">
      <c r="C873" s="1308">
        <f>IF(D866="","-",+C872+1)</f>
        <v>2018</v>
      </c>
      <c r="D873" s="728">
        <f aca="true" t="shared" si="84" ref="D873:D925">F872</f>
        <v>12344817.447916666</v>
      </c>
      <c r="E873" s="781">
        <f>IF(D873&gt;$J$869,$J$869,D873)</f>
        <v>193897.65625</v>
      </c>
      <c r="F873" s="781">
        <f t="shared" si="80"/>
        <v>12150919.791666666</v>
      </c>
      <c r="G873" s="728">
        <f aca="true" t="shared" si="85" ref="G873:G931">+(D873+F873)/2</f>
        <v>12247868.619791666</v>
      </c>
      <c r="H873" s="786">
        <f>+J867*G873+E873</f>
        <v>1557982.538518849</v>
      </c>
      <c r="I873" s="787">
        <f>+J868*G873+E873</f>
        <v>1557982.538518849</v>
      </c>
      <c r="J873" s="784">
        <f>+I873-H873</f>
        <v>0</v>
      </c>
      <c r="K873" s="784"/>
      <c r="L873" s="804">
        <v>0</v>
      </c>
      <c r="M873" s="784">
        <f t="shared" si="81"/>
        <v>0</v>
      </c>
      <c r="N873" s="804">
        <v>0</v>
      </c>
      <c r="O873" s="784">
        <f t="shared" si="82"/>
        <v>0</v>
      </c>
      <c r="P873" s="784">
        <f t="shared" si="83"/>
        <v>0</v>
      </c>
    </row>
    <row r="874" spans="3:16" ht="12.75">
      <c r="C874" s="780">
        <f>IF(D866="","-",+C873+1)</f>
        <v>2019</v>
      </c>
      <c r="D874" s="728">
        <f t="shared" si="84"/>
        <v>12150919.791666666</v>
      </c>
      <c r="E874" s="781">
        <f aca="true" t="shared" si="86" ref="E874:E931">IF(D874&gt;$J$869,$J$869,D874)</f>
        <v>193897.65625</v>
      </c>
      <c r="F874" s="781">
        <f t="shared" si="80"/>
        <v>11957022.135416666</v>
      </c>
      <c r="G874" s="728">
        <f t="shared" si="85"/>
        <v>12053970.963541666</v>
      </c>
      <c r="H874" s="786">
        <f>+J867*G874+E874</f>
        <v>1536387.5271900545</v>
      </c>
      <c r="I874" s="787">
        <f>+J868*G874+E874</f>
        <v>1536387.5271900545</v>
      </c>
      <c r="J874" s="784">
        <f aca="true" t="shared" si="87" ref="J874:J931">+I874-H874</f>
        <v>0</v>
      </c>
      <c r="K874" s="784"/>
      <c r="L874" s="804"/>
      <c r="M874" s="784">
        <f t="shared" si="81"/>
        <v>0</v>
      </c>
      <c r="N874" s="804"/>
      <c r="O874" s="784">
        <f t="shared" si="82"/>
        <v>0</v>
      </c>
      <c r="P874" s="784">
        <f t="shared" si="83"/>
        <v>0</v>
      </c>
    </row>
    <row r="875" spans="3:16" ht="12.75">
      <c r="C875" s="1308">
        <f>IF(D866="","-",+C874+1)</f>
        <v>2020</v>
      </c>
      <c r="D875" s="728">
        <f t="shared" si="84"/>
        <v>11957022.135416666</v>
      </c>
      <c r="E875" s="781">
        <f t="shared" si="86"/>
        <v>193897.65625</v>
      </c>
      <c r="F875" s="781">
        <f t="shared" si="80"/>
        <v>11763124.479166666</v>
      </c>
      <c r="G875" s="728">
        <f t="shared" si="85"/>
        <v>11860073.307291666</v>
      </c>
      <c r="H875" s="786">
        <f>+J867*G875+E875</f>
        <v>1514792.51586126</v>
      </c>
      <c r="I875" s="787">
        <f>+J868*G875+E875</f>
        <v>1514792.51586126</v>
      </c>
      <c r="J875" s="784">
        <f t="shared" si="87"/>
        <v>0</v>
      </c>
      <c r="K875" s="784"/>
      <c r="L875" s="804"/>
      <c r="M875" s="784">
        <f t="shared" si="81"/>
        <v>0</v>
      </c>
      <c r="N875" s="804"/>
      <c r="O875" s="784">
        <f t="shared" si="82"/>
        <v>0</v>
      </c>
      <c r="P875" s="784">
        <f t="shared" si="83"/>
        <v>0</v>
      </c>
    </row>
    <row r="876" spans="3:16" ht="12.75">
      <c r="C876" s="1308">
        <f>IF(D866="","-",+C875+1)</f>
        <v>2021</v>
      </c>
      <c r="D876" s="728">
        <f t="shared" si="84"/>
        <v>11763124.479166666</v>
      </c>
      <c r="E876" s="781">
        <f t="shared" si="86"/>
        <v>193897.65625</v>
      </c>
      <c r="F876" s="781">
        <f t="shared" si="80"/>
        <v>11569226.822916666</v>
      </c>
      <c r="G876" s="728">
        <f t="shared" si="85"/>
        <v>11666175.651041666</v>
      </c>
      <c r="H876" s="786">
        <f>+J867*G876+E876</f>
        <v>1493197.5045324657</v>
      </c>
      <c r="I876" s="787">
        <f>+J868*G876+E876</f>
        <v>1493197.5045324657</v>
      </c>
      <c r="J876" s="784">
        <f t="shared" si="87"/>
        <v>0</v>
      </c>
      <c r="K876" s="784"/>
      <c r="L876" s="804"/>
      <c r="M876" s="784">
        <f t="shared" si="81"/>
        <v>0</v>
      </c>
      <c r="N876" s="804"/>
      <c r="O876" s="784">
        <f t="shared" si="82"/>
        <v>0</v>
      </c>
      <c r="P876" s="784">
        <f t="shared" si="83"/>
        <v>0</v>
      </c>
    </row>
    <row r="877" spans="3:16" ht="12.75">
      <c r="C877" s="780">
        <f>IF(D866="","-",+C876+1)</f>
        <v>2022</v>
      </c>
      <c r="D877" s="728">
        <f t="shared" si="84"/>
        <v>11569226.822916666</v>
      </c>
      <c r="E877" s="781">
        <f t="shared" si="86"/>
        <v>193897.65625</v>
      </c>
      <c r="F877" s="781">
        <f t="shared" si="80"/>
        <v>11375329.166666666</v>
      </c>
      <c r="G877" s="728">
        <f t="shared" si="85"/>
        <v>11472277.994791666</v>
      </c>
      <c r="H877" s="786">
        <f>+J867*G877+E877</f>
        <v>1471602.4932036712</v>
      </c>
      <c r="I877" s="787">
        <f>+J868*G877+E877</f>
        <v>1471602.4932036712</v>
      </c>
      <c r="J877" s="784">
        <f t="shared" si="87"/>
        <v>0</v>
      </c>
      <c r="K877" s="784"/>
      <c r="L877" s="804"/>
      <c r="M877" s="784">
        <f t="shared" si="81"/>
        <v>0</v>
      </c>
      <c r="N877" s="804"/>
      <c r="O877" s="784">
        <f t="shared" si="82"/>
        <v>0</v>
      </c>
      <c r="P877" s="784">
        <f t="shared" si="83"/>
        <v>0</v>
      </c>
    </row>
    <row r="878" spans="3:16" ht="12.75">
      <c r="C878" s="780">
        <f>IF(D866="","-",+C877+1)</f>
        <v>2023</v>
      </c>
      <c r="D878" s="728">
        <f t="shared" si="84"/>
        <v>11375329.166666666</v>
      </c>
      <c r="E878" s="781">
        <f t="shared" si="86"/>
        <v>193897.65625</v>
      </c>
      <c r="F878" s="781">
        <f t="shared" si="80"/>
        <v>11181431.510416666</v>
      </c>
      <c r="G878" s="728">
        <f t="shared" si="85"/>
        <v>11278380.338541666</v>
      </c>
      <c r="H878" s="786">
        <f>+J867*G878+E878</f>
        <v>1450007.481874877</v>
      </c>
      <c r="I878" s="787">
        <f>+J868*G878+E878</f>
        <v>1450007.481874877</v>
      </c>
      <c r="J878" s="784">
        <f t="shared" si="87"/>
        <v>0</v>
      </c>
      <c r="K878" s="784"/>
      <c r="L878" s="804"/>
      <c r="M878" s="784">
        <f t="shared" si="81"/>
        <v>0</v>
      </c>
      <c r="N878" s="804"/>
      <c r="O878" s="784">
        <f t="shared" si="82"/>
        <v>0</v>
      </c>
      <c r="P878" s="784">
        <f t="shared" si="83"/>
        <v>0</v>
      </c>
    </row>
    <row r="879" spans="3:16" ht="12.75">
      <c r="C879" s="780">
        <f>IF(D866="","-",+C878+1)</f>
        <v>2024</v>
      </c>
      <c r="D879" s="728">
        <f t="shared" si="84"/>
        <v>11181431.510416666</v>
      </c>
      <c r="E879" s="781">
        <f t="shared" si="86"/>
        <v>193897.65625</v>
      </c>
      <c r="F879" s="781">
        <f t="shared" si="80"/>
        <v>10987533.854166666</v>
      </c>
      <c r="G879" s="728">
        <f t="shared" si="85"/>
        <v>11084482.682291666</v>
      </c>
      <c r="H879" s="786">
        <f>+J867*G879+E879</f>
        <v>1428412.4705460824</v>
      </c>
      <c r="I879" s="787">
        <f>+J868*G879+E879</f>
        <v>1428412.4705460824</v>
      </c>
      <c r="J879" s="784">
        <f t="shared" si="87"/>
        <v>0</v>
      </c>
      <c r="K879" s="784"/>
      <c r="L879" s="804"/>
      <c r="M879" s="784">
        <f t="shared" si="81"/>
        <v>0</v>
      </c>
      <c r="N879" s="804"/>
      <c r="O879" s="784">
        <f t="shared" si="82"/>
        <v>0</v>
      </c>
      <c r="P879" s="784">
        <f t="shared" si="83"/>
        <v>0</v>
      </c>
    </row>
    <row r="880" spans="3:16" ht="12.75">
      <c r="C880" s="780">
        <f>IF(D866="","-",+C879+1)</f>
        <v>2025</v>
      </c>
      <c r="D880" s="728">
        <f t="shared" si="84"/>
        <v>10987533.854166666</v>
      </c>
      <c r="E880" s="781">
        <f t="shared" si="86"/>
        <v>193897.65625</v>
      </c>
      <c r="F880" s="781">
        <f t="shared" si="80"/>
        <v>10793636.197916666</v>
      </c>
      <c r="G880" s="728">
        <f t="shared" si="85"/>
        <v>10890585.026041666</v>
      </c>
      <c r="H880" s="786">
        <f>+J867*G880+E880</f>
        <v>1406817.4592172878</v>
      </c>
      <c r="I880" s="787">
        <f>+J868*G880+E880</f>
        <v>1406817.4592172878</v>
      </c>
      <c r="J880" s="784">
        <f t="shared" si="87"/>
        <v>0</v>
      </c>
      <c r="K880" s="784"/>
      <c r="L880" s="804"/>
      <c r="M880" s="784">
        <f t="shared" si="81"/>
        <v>0</v>
      </c>
      <c r="N880" s="804"/>
      <c r="O880" s="784">
        <f t="shared" si="82"/>
        <v>0</v>
      </c>
      <c r="P880" s="784">
        <f t="shared" si="83"/>
        <v>0</v>
      </c>
    </row>
    <row r="881" spans="3:16" ht="12.75">
      <c r="C881" s="780">
        <f>IF(D866="","-",+C880+1)</f>
        <v>2026</v>
      </c>
      <c r="D881" s="728">
        <f t="shared" si="84"/>
        <v>10793636.197916666</v>
      </c>
      <c r="E881" s="781">
        <f t="shared" si="86"/>
        <v>193897.65625</v>
      </c>
      <c r="F881" s="781">
        <f t="shared" si="80"/>
        <v>10599738.541666666</v>
      </c>
      <c r="G881" s="728">
        <f t="shared" si="85"/>
        <v>10696687.369791666</v>
      </c>
      <c r="H881" s="786">
        <f>+J867*G881+E881</f>
        <v>1385222.4478884935</v>
      </c>
      <c r="I881" s="787">
        <f>+J868*G881+E881</f>
        <v>1385222.4478884935</v>
      </c>
      <c r="J881" s="784">
        <f t="shared" si="87"/>
        <v>0</v>
      </c>
      <c r="K881" s="784"/>
      <c r="L881" s="804"/>
      <c r="M881" s="784">
        <f t="shared" si="81"/>
        <v>0</v>
      </c>
      <c r="N881" s="804"/>
      <c r="O881" s="784">
        <f t="shared" si="82"/>
        <v>0</v>
      </c>
      <c r="P881" s="784">
        <f t="shared" si="83"/>
        <v>0</v>
      </c>
    </row>
    <row r="882" spans="3:16" ht="12.75">
      <c r="C882" s="780">
        <f>IF(D866="","-",+C881+1)</f>
        <v>2027</v>
      </c>
      <c r="D882" s="728">
        <f t="shared" si="84"/>
        <v>10599738.541666666</v>
      </c>
      <c r="E882" s="781">
        <f t="shared" si="86"/>
        <v>193897.65625</v>
      </c>
      <c r="F882" s="781">
        <f t="shared" si="80"/>
        <v>10405840.885416666</v>
      </c>
      <c r="G882" s="728">
        <f t="shared" si="85"/>
        <v>10502789.713541666</v>
      </c>
      <c r="H882" s="786">
        <f>+J867*G882+E882</f>
        <v>1363627.436559699</v>
      </c>
      <c r="I882" s="787">
        <f>+J868*G882+E882</f>
        <v>1363627.436559699</v>
      </c>
      <c r="J882" s="784">
        <f t="shared" si="87"/>
        <v>0</v>
      </c>
      <c r="K882" s="784"/>
      <c r="L882" s="804"/>
      <c r="M882" s="784">
        <f t="shared" si="81"/>
        <v>0</v>
      </c>
      <c r="N882" s="804"/>
      <c r="O882" s="784">
        <f t="shared" si="82"/>
        <v>0</v>
      </c>
      <c r="P882" s="784">
        <f t="shared" si="83"/>
        <v>0</v>
      </c>
    </row>
    <row r="883" spans="3:16" ht="12.75">
      <c r="C883" s="780">
        <f>IF(D866="","-",+C882+1)</f>
        <v>2028</v>
      </c>
      <c r="D883" s="728">
        <f t="shared" si="84"/>
        <v>10405840.885416666</v>
      </c>
      <c r="E883" s="781">
        <f t="shared" si="86"/>
        <v>193897.65625</v>
      </c>
      <c r="F883" s="781">
        <f t="shared" si="80"/>
        <v>10211943.229166666</v>
      </c>
      <c r="G883" s="728">
        <f t="shared" si="85"/>
        <v>10308892.057291666</v>
      </c>
      <c r="H883" s="786">
        <f>+J867*G883+E883</f>
        <v>1342032.4252309045</v>
      </c>
      <c r="I883" s="787">
        <f>+J868*G883+E883</f>
        <v>1342032.4252309045</v>
      </c>
      <c r="J883" s="784">
        <f t="shared" si="87"/>
        <v>0</v>
      </c>
      <c r="K883" s="784"/>
      <c r="L883" s="804"/>
      <c r="M883" s="784">
        <f t="shared" si="81"/>
        <v>0</v>
      </c>
      <c r="N883" s="804"/>
      <c r="O883" s="784">
        <f t="shared" si="82"/>
        <v>0</v>
      </c>
      <c r="P883" s="784">
        <f t="shared" si="83"/>
        <v>0</v>
      </c>
    </row>
    <row r="884" spans="3:16" ht="12.75">
      <c r="C884" s="780">
        <f>IF(D866="","-",+C883+1)</f>
        <v>2029</v>
      </c>
      <c r="D884" s="728">
        <f t="shared" si="84"/>
        <v>10211943.229166666</v>
      </c>
      <c r="E884" s="781">
        <f t="shared" si="86"/>
        <v>193897.65625</v>
      </c>
      <c r="F884" s="781">
        <f t="shared" si="80"/>
        <v>10018045.572916666</v>
      </c>
      <c r="G884" s="728">
        <f t="shared" si="85"/>
        <v>10114994.401041666</v>
      </c>
      <c r="H884" s="786">
        <f>+J867*G884+E884</f>
        <v>1320437.4139021102</v>
      </c>
      <c r="I884" s="787">
        <f>+J868*G884+E884</f>
        <v>1320437.4139021102</v>
      </c>
      <c r="J884" s="784">
        <f t="shared" si="87"/>
        <v>0</v>
      </c>
      <c r="K884" s="784"/>
      <c r="L884" s="804"/>
      <c r="M884" s="784">
        <f t="shared" si="81"/>
        <v>0</v>
      </c>
      <c r="N884" s="804"/>
      <c r="O884" s="784">
        <f t="shared" si="82"/>
        <v>0</v>
      </c>
      <c r="P884" s="784">
        <f t="shared" si="83"/>
        <v>0</v>
      </c>
    </row>
    <row r="885" spans="3:16" ht="12.75">
      <c r="C885" s="780">
        <f>IF(D866="","-",+C884+1)</f>
        <v>2030</v>
      </c>
      <c r="D885" s="728">
        <f t="shared" si="84"/>
        <v>10018045.572916666</v>
      </c>
      <c r="E885" s="781">
        <f t="shared" si="86"/>
        <v>193897.65625</v>
      </c>
      <c r="F885" s="781">
        <f t="shared" si="80"/>
        <v>9824147.916666666</v>
      </c>
      <c r="G885" s="728">
        <f t="shared" si="85"/>
        <v>9921096.744791666</v>
      </c>
      <c r="H885" s="786">
        <f>+J867*G885+E885</f>
        <v>1298842.4025733157</v>
      </c>
      <c r="I885" s="787">
        <f>+J868*G885+E885</f>
        <v>1298842.4025733157</v>
      </c>
      <c r="J885" s="784">
        <f t="shared" si="87"/>
        <v>0</v>
      </c>
      <c r="K885" s="784"/>
      <c r="L885" s="804"/>
      <c r="M885" s="784">
        <f t="shared" si="81"/>
        <v>0</v>
      </c>
      <c r="N885" s="804"/>
      <c r="O885" s="784">
        <f t="shared" si="82"/>
        <v>0</v>
      </c>
      <c r="P885" s="784">
        <f t="shared" si="83"/>
        <v>0</v>
      </c>
    </row>
    <row r="886" spans="3:16" ht="12.75">
      <c r="C886" s="780">
        <f>IF(D866="","-",+C885+1)</f>
        <v>2031</v>
      </c>
      <c r="D886" s="728">
        <f t="shared" si="84"/>
        <v>9824147.916666666</v>
      </c>
      <c r="E886" s="781">
        <f t="shared" si="86"/>
        <v>193897.65625</v>
      </c>
      <c r="F886" s="781">
        <f t="shared" si="80"/>
        <v>9630250.260416666</v>
      </c>
      <c r="G886" s="728">
        <f t="shared" si="85"/>
        <v>9727199.088541666</v>
      </c>
      <c r="H886" s="786">
        <f>+J867*G886+E886</f>
        <v>1277247.3912445211</v>
      </c>
      <c r="I886" s="787">
        <f>+J868*G886+E886</f>
        <v>1277247.3912445211</v>
      </c>
      <c r="J886" s="784">
        <f t="shared" si="87"/>
        <v>0</v>
      </c>
      <c r="K886" s="784"/>
      <c r="L886" s="804"/>
      <c r="M886" s="784">
        <f t="shared" si="81"/>
        <v>0</v>
      </c>
      <c r="N886" s="804"/>
      <c r="O886" s="784">
        <f t="shared" si="82"/>
        <v>0</v>
      </c>
      <c r="P886" s="784">
        <f t="shared" si="83"/>
        <v>0</v>
      </c>
    </row>
    <row r="887" spans="3:16" ht="12.75">
      <c r="C887" s="780">
        <f>IF(D866="","-",+C886+1)</f>
        <v>2032</v>
      </c>
      <c r="D887" s="728">
        <f t="shared" si="84"/>
        <v>9630250.260416666</v>
      </c>
      <c r="E887" s="781">
        <f t="shared" si="86"/>
        <v>193897.65625</v>
      </c>
      <c r="F887" s="781">
        <f t="shared" si="80"/>
        <v>9436352.604166666</v>
      </c>
      <c r="G887" s="728">
        <f t="shared" si="85"/>
        <v>9533301.432291666</v>
      </c>
      <c r="H887" s="786">
        <f>+J867*G887+E887</f>
        <v>1255652.3799157268</v>
      </c>
      <c r="I887" s="787">
        <f>+J868*G887+E887</f>
        <v>1255652.3799157268</v>
      </c>
      <c r="J887" s="784">
        <f t="shared" si="87"/>
        <v>0</v>
      </c>
      <c r="K887" s="784"/>
      <c r="L887" s="804"/>
      <c r="M887" s="784">
        <f t="shared" si="81"/>
        <v>0</v>
      </c>
      <c r="N887" s="804"/>
      <c r="O887" s="784">
        <f t="shared" si="82"/>
        <v>0</v>
      </c>
      <c r="P887" s="784">
        <f t="shared" si="83"/>
        <v>0</v>
      </c>
    </row>
    <row r="888" spans="3:16" ht="12.75">
      <c r="C888" s="780">
        <f>IF(D866="","-",+C887+1)</f>
        <v>2033</v>
      </c>
      <c r="D888" s="728">
        <f t="shared" si="84"/>
        <v>9436352.604166666</v>
      </c>
      <c r="E888" s="781">
        <f t="shared" si="86"/>
        <v>193897.65625</v>
      </c>
      <c r="F888" s="781">
        <f t="shared" si="80"/>
        <v>9242454.947916666</v>
      </c>
      <c r="G888" s="728">
        <f t="shared" si="85"/>
        <v>9339403.776041666</v>
      </c>
      <c r="H888" s="786">
        <f>+J867*G888+E888</f>
        <v>1234057.3685869323</v>
      </c>
      <c r="I888" s="787">
        <f>+J868*G888+E888</f>
        <v>1234057.3685869323</v>
      </c>
      <c r="J888" s="784">
        <f t="shared" si="87"/>
        <v>0</v>
      </c>
      <c r="K888" s="784"/>
      <c r="L888" s="804"/>
      <c r="M888" s="784">
        <f t="shared" si="81"/>
        <v>0</v>
      </c>
      <c r="N888" s="804"/>
      <c r="O888" s="784">
        <f t="shared" si="82"/>
        <v>0</v>
      </c>
      <c r="P888" s="784">
        <f t="shared" si="83"/>
        <v>0</v>
      </c>
    </row>
    <row r="889" spans="3:16" ht="12.75">
      <c r="C889" s="780">
        <f>IF(D866="","-",+C888+1)</f>
        <v>2034</v>
      </c>
      <c r="D889" s="728">
        <f t="shared" si="84"/>
        <v>9242454.947916666</v>
      </c>
      <c r="E889" s="781">
        <f t="shared" si="86"/>
        <v>193897.65625</v>
      </c>
      <c r="F889" s="781">
        <f t="shared" si="80"/>
        <v>9048557.291666666</v>
      </c>
      <c r="G889" s="728">
        <f t="shared" si="85"/>
        <v>9145506.119791666</v>
      </c>
      <c r="H889" s="786">
        <f>+J867*G889+E889</f>
        <v>1212462.3572581378</v>
      </c>
      <c r="I889" s="787">
        <f>+J868*G889+E889</f>
        <v>1212462.3572581378</v>
      </c>
      <c r="J889" s="784">
        <f t="shared" si="87"/>
        <v>0</v>
      </c>
      <c r="K889" s="784"/>
      <c r="L889" s="804"/>
      <c r="M889" s="784">
        <f t="shared" si="81"/>
        <v>0</v>
      </c>
      <c r="N889" s="804"/>
      <c r="O889" s="784">
        <f t="shared" si="82"/>
        <v>0</v>
      </c>
      <c r="P889" s="784">
        <f t="shared" si="83"/>
        <v>0</v>
      </c>
    </row>
    <row r="890" spans="3:16" ht="12.75">
      <c r="C890" s="780">
        <f>IF(D866="","-",+C889+1)</f>
        <v>2035</v>
      </c>
      <c r="D890" s="728">
        <f t="shared" si="84"/>
        <v>9048557.291666666</v>
      </c>
      <c r="E890" s="781">
        <f t="shared" si="86"/>
        <v>193897.65625</v>
      </c>
      <c r="F890" s="781">
        <f t="shared" si="80"/>
        <v>8854659.635416666</v>
      </c>
      <c r="G890" s="728">
        <f t="shared" si="85"/>
        <v>8951608.463541666</v>
      </c>
      <c r="H890" s="786">
        <f>+J867*G890+E890</f>
        <v>1190867.3459293435</v>
      </c>
      <c r="I890" s="787">
        <f>+J868*G890+E890</f>
        <v>1190867.3459293435</v>
      </c>
      <c r="J890" s="784">
        <f t="shared" si="87"/>
        <v>0</v>
      </c>
      <c r="K890" s="784"/>
      <c r="L890" s="804"/>
      <c r="M890" s="784">
        <f t="shared" si="81"/>
        <v>0</v>
      </c>
      <c r="N890" s="804"/>
      <c r="O890" s="784">
        <f t="shared" si="82"/>
        <v>0</v>
      </c>
      <c r="P890" s="784">
        <f t="shared" si="83"/>
        <v>0</v>
      </c>
    </row>
    <row r="891" spans="3:16" ht="12.75">
      <c r="C891" s="780">
        <f>IF(D866="","-",+C890+1)</f>
        <v>2036</v>
      </c>
      <c r="D891" s="728">
        <f t="shared" si="84"/>
        <v>8854659.635416666</v>
      </c>
      <c r="E891" s="781">
        <f t="shared" si="86"/>
        <v>193897.65625</v>
      </c>
      <c r="F891" s="781">
        <f t="shared" si="80"/>
        <v>8660761.979166666</v>
      </c>
      <c r="G891" s="728">
        <f t="shared" si="85"/>
        <v>8757710.807291666</v>
      </c>
      <c r="H891" s="786">
        <f>+J867*G891+E891</f>
        <v>1169272.334600549</v>
      </c>
      <c r="I891" s="787">
        <f>+J868*G891+E891</f>
        <v>1169272.334600549</v>
      </c>
      <c r="J891" s="784">
        <f t="shared" si="87"/>
        <v>0</v>
      </c>
      <c r="K891" s="784"/>
      <c r="L891" s="804"/>
      <c r="M891" s="784">
        <f t="shared" si="81"/>
        <v>0</v>
      </c>
      <c r="N891" s="804"/>
      <c r="O891" s="784">
        <f t="shared" si="82"/>
        <v>0</v>
      </c>
      <c r="P891" s="784">
        <f t="shared" si="83"/>
        <v>0</v>
      </c>
    </row>
    <row r="892" spans="3:16" ht="12.75">
      <c r="C892" s="780">
        <f>IF(D866="","-",+C891+1)</f>
        <v>2037</v>
      </c>
      <c r="D892" s="728">
        <f t="shared" si="84"/>
        <v>8660761.979166666</v>
      </c>
      <c r="E892" s="781">
        <f t="shared" si="86"/>
        <v>193897.65625</v>
      </c>
      <c r="F892" s="781">
        <f t="shared" si="80"/>
        <v>8466864.322916666</v>
      </c>
      <c r="G892" s="728">
        <f t="shared" si="85"/>
        <v>8563813.151041666</v>
      </c>
      <c r="H892" s="786">
        <f>+J867*G892+E892</f>
        <v>1147677.3232717547</v>
      </c>
      <c r="I892" s="787">
        <f>+J868*G892+E892</f>
        <v>1147677.3232717547</v>
      </c>
      <c r="J892" s="784">
        <f t="shared" si="87"/>
        <v>0</v>
      </c>
      <c r="K892" s="784"/>
      <c r="L892" s="804"/>
      <c r="M892" s="784">
        <f t="shared" si="81"/>
        <v>0</v>
      </c>
      <c r="N892" s="804"/>
      <c r="O892" s="784">
        <f t="shared" si="82"/>
        <v>0</v>
      </c>
      <c r="P892" s="784">
        <f t="shared" si="83"/>
        <v>0</v>
      </c>
    </row>
    <row r="893" spans="3:16" ht="12.75">
      <c r="C893" s="780">
        <f>IF(D866="","-",+C892+1)</f>
        <v>2038</v>
      </c>
      <c r="D893" s="728">
        <f t="shared" si="84"/>
        <v>8466864.322916666</v>
      </c>
      <c r="E893" s="781">
        <f t="shared" si="86"/>
        <v>193897.65625</v>
      </c>
      <c r="F893" s="781">
        <f t="shared" si="80"/>
        <v>8272966.666666666</v>
      </c>
      <c r="G893" s="728">
        <f t="shared" si="85"/>
        <v>8369915.494791666</v>
      </c>
      <c r="H893" s="786">
        <f>+J867*G893+E893</f>
        <v>1126082.3119429601</v>
      </c>
      <c r="I893" s="787">
        <f>+J868*G893+E893</f>
        <v>1126082.3119429601</v>
      </c>
      <c r="J893" s="784">
        <f t="shared" si="87"/>
        <v>0</v>
      </c>
      <c r="K893" s="784"/>
      <c r="L893" s="804"/>
      <c r="M893" s="784">
        <f t="shared" si="81"/>
        <v>0</v>
      </c>
      <c r="N893" s="804"/>
      <c r="O893" s="784">
        <f t="shared" si="82"/>
        <v>0</v>
      </c>
      <c r="P893" s="784">
        <f t="shared" si="83"/>
        <v>0</v>
      </c>
    </row>
    <row r="894" spans="3:16" ht="12.75">
      <c r="C894" s="780">
        <f>IF(D866="","-",+C893+1)</f>
        <v>2039</v>
      </c>
      <c r="D894" s="728">
        <f t="shared" si="84"/>
        <v>8272966.666666666</v>
      </c>
      <c r="E894" s="781">
        <f t="shared" si="86"/>
        <v>193897.65625</v>
      </c>
      <c r="F894" s="781">
        <f t="shared" si="80"/>
        <v>8079069.010416666</v>
      </c>
      <c r="G894" s="728">
        <f t="shared" si="85"/>
        <v>8176017.838541666</v>
      </c>
      <c r="H894" s="786">
        <f>+J867*G894+E894</f>
        <v>1104487.3006141656</v>
      </c>
      <c r="I894" s="787">
        <f>+J868*G894+E894</f>
        <v>1104487.3006141656</v>
      </c>
      <c r="J894" s="784">
        <f t="shared" si="87"/>
        <v>0</v>
      </c>
      <c r="K894" s="784"/>
      <c r="L894" s="804"/>
      <c r="M894" s="784">
        <f t="shared" si="81"/>
        <v>0</v>
      </c>
      <c r="N894" s="804"/>
      <c r="O894" s="784">
        <f t="shared" si="82"/>
        <v>0</v>
      </c>
      <c r="P894" s="784">
        <f t="shared" si="83"/>
        <v>0</v>
      </c>
    </row>
    <row r="895" spans="3:16" ht="12.75">
      <c r="C895" s="780">
        <f>IF(D866="","-",+C894+1)</f>
        <v>2040</v>
      </c>
      <c r="D895" s="728">
        <f t="shared" si="84"/>
        <v>8079069.010416666</v>
      </c>
      <c r="E895" s="781">
        <f t="shared" si="86"/>
        <v>193897.65625</v>
      </c>
      <c r="F895" s="781">
        <f t="shared" si="80"/>
        <v>7885171.354166666</v>
      </c>
      <c r="G895" s="728">
        <f t="shared" si="85"/>
        <v>7982120.182291666</v>
      </c>
      <c r="H895" s="786">
        <f>+J867*G895+E895</f>
        <v>1082892.289285371</v>
      </c>
      <c r="I895" s="787">
        <f>+J868*G895+E895</f>
        <v>1082892.289285371</v>
      </c>
      <c r="J895" s="784">
        <f t="shared" si="87"/>
        <v>0</v>
      </c>
      <c r="K895" s="784"/>
      <c r="L895" s="804"/>
      <c r="M895" s="784">
        <f t="shared" si="81"/>
        <v>0</v>
      </c>
      <c r="N895" s="804"/>
      <c r="O895" s="784">
        <f t="shared" si="82"/>
        <v>0</v>
      </c>
      <c r="P895" s="784">
        <f t="shared" si="83"/>
        <v>0</v>
      </c>
    </row>
    <row r="896" spans="3:16" ht="12.75">
      <c r="C896" s="780">
        <f>IF(D866="","-",+C895+1)</f>
        <v>2041</v>
      </c>
      <c r="D896" s="728">
        <f t="shared" si="84"/>
        <v>7885171.354166666</v>
      </c>
      <c r="E896" s="781">
        <f t="shared" si="86"/>
        <v>193897.65625</v>
      </c>
      <c r="F896" s="781">
        <f t="shared" si="80"/>
        <v>7691273.697916666</v>
      </c>
      <c r="G896" s="728">
        <f t="shared" si="85"/>
        <v>7788222.526041666</v>
      </c>
      <c r="H896" s="786">
        <f>+J867*G896+E896</f>
        <v>1061297.2779565768</v>
      </c>
      <c r="I896" s="787">
        <f>+J868*G896+E896</f>
        <v>1061297.2779565768</v>
      </c>
      <c r="J896" s="784">
        <f t="shared" si="87"/>
        <v>0</v>
      </c>
      <c r="K896" s="784"/>
      <c r="L896" s="804"/>
      <c r="M896" s="784">
        <f t="shared" si="81"/>
        <v>0</v>
      </c>
      <c r="N896" s="804"/>
      <c r="O896" s="784">
        <f t="shared" si="82"/>
        <v>0</v>
      </c>
      <c r="P896" s="784">
        <f t="shared" si="83"/>
        <v>0</v>
      </c>
    </row>
    <row r="897" spans="3:16" ht="12.75">
      <c r="C897" s="780">
        <f>IF(D866="","-",+C896+1)</f>
        <v>2042</v>
      </c>
      <c r="D897" s="728">
        <f t="shared" si="84"/>
        <v>7691273.697916666</v>
      </c>
      <c r="E897" s="781">
        <f t="shared" si="86"/>
        <v>193897.65625</v>
      </c>
      <c r="F897" s="781">
        <f t="shared" si="80"/>
        <v>7497376.041666666</v>
      </c>
      <c r="G897" s="728">
        <f t="shared" si="85"/>
        <v>7594324.869791666</v>
      </c>
      <c r="H897" s="786">
        <f>+J867*G897+E897</f>
        <v>1039702.2666277824</v>
      </c>
      <c r="I897" s="787">
        <f>+J868*G897+E897</f>
        <v>1039702.2666277824</v>
      </c>
      <c r="J897" s="784">
        <f t="shared" si="87"/>
        <v>0</v>
      </c>
      <c r="K897" s="784"/>
      <c r="L897" s="804"/>
      <c r="M897" s="784">
        <f t="shared" si="81"/>
        <v>0</v>
      </c>
      <c r="N897" s="804"/>
      <c r="O897" s="784">
        <f t="shared" si="82"/>
        <v>0</v>
      </c>
      <c r="P897" s="784">
        <f t="shared" si="83"/>
        <v>0</v>
      </c>
    </row>
    <row r="898" spans="3:16" ht="12.75">
      <c r="C898" s="780">
        <f>IF(D866="","-",+C897+1)</f>
        <v>2043</v>
      </c>
      <c r="D898" s="728">
        <f t="shared" si="84"/>
        <v>7497376.041666666</v>
      </c>
      <c r="E898" s="781">
        <f t="shared" si="86"/>
        <v>193897.65625</v>
      </c>
      <c r="F898" s="781">
        <f t="shared" si="80"/>
        <v>7303478.385416666</v>
      </c>
      <c r="G898" s="728">
        <f t="shared" si="85"/>
        <v>7400427.213541666</v>
      </c>
      <c r="H898" s="786">
        <f>+J867*G898+E898</f>
        <v>1018107.2552989878</v>
      </c>
      <c r="I898" s="787">
        <f>+J868*G898+E898</f>
        <v>1018107.2552989878</v>
      </c>
      <c r="J898" s="784">
        <f t="shared" si="87"/>
        <v>0</v>
      </c>
      <c r="K898" s="784"/>
      <c r="L898" s="804"/>
      <c r="M898" s="784">
        <f t="shared" si="81"/>
        <v>0</v>
      </c>
      <c r="N898" s="804"/>
      <c r="O898" s="784">
        <f t="shared" si="82"/>
        <v>0</v>
      </c>
      <c r="P898" s="784">
        <f t="shared" si="83"/>
        <v>0</v>
      </c>
    </row>
    <row r="899" spans="3:16" ht="12.75">
      <c r="C899" s="780">
        <f>IF(D866="","-",+C898+1)</f>
        <v>2044</v>
      </c>
      <c r="D899" s="728">
        <f t="shared" si="84"/>
        <v>7303478.385416666</v>
      </c>
      <c r="E899" s="781">
        <f t="shared" si="86"/>
        <v>193897.65625</v>
      </c>
      <c r="F899" s="781">
        <f t="shared" si="80"/>
        <v>7109580.729166666</v>
      </c>
      <c r="G899" s="728">
        <f t="shared" si="85"/>
        <v>7206529.557291666</v>
      </c>
      <c r="H899" s="786">
        <f>+J867*G899+E899</f>
        <v>996512.2439701934</v>
      </c>
      <c r="I899" s="787">
        <f>+J868*G899+E899</f>
        <v>996512.2439701934</v>
      </c>
      <c r="J899" s="784">
        <f t="shared" si="87"/>
        <v>0</v>
      </c>
      <c r="K899" s="784"/>
      <c r="L899" s="804"/>
      <c r="M899" s="784">
        <f t="shared" si="81"/>
        <v>0</v>
      </c>
      <c r="N899" s="804"/>
      <c r="O899" s="784">
        <f t="shared" si="82"/>
        <v>0</v>
      </c>
      <c r="P899" s="784">
        <f t="shared" si="83"/>
        <v>0</v>
      </c>
    </row>
    <row r="900" spans="3:16" ht="12.75">
      <c r="C900" s="780">
        <f>IF(D866="","-",+C899+1)</f>
        <v>2045</v>
      </c>
      <c r="D900" s="728">
        <f t="shared" si="84"/>
        <v>7109580.729166666</v>
      </c>
      <c r="E900" s="781">
        <f t="shared" si="86"/>
        <v>193897.65625</v>
      </c>
      <c r="F900" s="781">
        <f t="shared" si="80"/>
        <v>6915683.072916666</v>
      </c>
      <c r="G900" s="728">
        <f t="shared" si="85"/>
        <v>7012631.901041666</v>
      </c>
      <c r="H900" s="786">
        <f>+J867*G900+E900</f>
        <v>974917.232641399</v>
      </c>
      <c r="I900" s="787">
        <f>+J868*G900+E900</f>
        <v>974917.232641399</v>
      </c>
      <c r="J900" s="784">
        <f t="shared" si="87"/>
        <v>0</v>
      </c>
      <c r="K900" s="784"/>
      <c r="L900" s="804"/>
      <c r="M900" s="784">
        <f t="shared" si="81"/>
        <v>0</v>
      </c>
      <c r="N900" s="804"/>
      <c r="O900" s="784">
        <f t="shared" si="82"/>
        <v>0</v>
      </c>
      <c r="P900" s="784">
        <f t="shared" si="83"/>
        <v>0</v>
      </c>
    </row>
    <row r="901" spans="3:16" ht="12.75">
      <c r="C901" s="780">
        <f>IF(D866="","-",+C900+1)</f>
        <v>2046</v>
      </c>
      <c r="D901" s="728">
        <f t="shared" si="84"/>
        <v>6915683.072916666</v>
      </c>
      <c r="E901" s="781">
        <f t="shared" si="86"/>
        <v>193897.65625</v>
      </c>
      <c r="F901" s="781">
        <f t="shared" si="80"/>
        <v>6721785.416666666</v>
      </c>
      <c r="G901" s="728">
        <f t="shared" si="85"/>
        <v>6818734.244791666</v>
      </c>
      <c r="H901" s="786">
        <f>+J867*G901+E901</f>
        <v>953322.2213126046</v>
      </c>
      <c r="I901" s="787">
        <f>+J868*G901+E901</f>
        <v>953322.2213126046</v>
      </c>
      <c r="J901" s="784">
        <f t="shared" si="87"/>
        <v>0</v>
      </c>
      <c r="K901" s="784"/>
      <c r="L901" s="804"/>
      <c r="M901" s="784">
        <f t="shared" si="81"/>
        <v>0</v>
      </c>
      <c r="N901" s="804"/>
      <c r="O901" s="784">
        <f t="shared" si="82"/>
        <v>0</v>
      </c>
      <c r="P901" s="784">
        <f t="shared" si="83"/>
        <v>0</v>
      </c>
    </row>
    <row r="902" spans="3:16" ht="12.75">
      <c r="C902" s="780">
        <f>IF(D866="","-",+C901+1)</f>
        <v>2047</v>
      </c>
      <c r="D902" s="728">
        <f t="shared" si="84"/>
        <v>6721785.416666666</v>
      </c>
      <c r="E902" s="781">
        <f t="shared" si="86"/>
        <v>193897.65625</v>
      </c>
      <c r="F902" s="781">
        <f t="shared" si="80"/>
        <v>6527887.760416666</v>
      </c>
      <c r="G902" s="728">
        <f t="shared" si="85"/>
        <v>6624836.588541666</v>
      </c>
      <c r="H902" s="786">
        <f>+J867*G902+E902</f>
        <v>931727.2099838101</v>
      </c>
      <c r="I902" s="787">
        <f>+J868*G902+E902</f>
        <v>931727.2099838101</v>
      </c>
      <c r="J902" s="784">
        <f t="shared" si="87"/>
        <v>0</v>
      </c>
      <c r="K902" s="784"/>
      <c r="L902" s="804"/>
      <c r="M902" s="784">
        <f t="shared" si="81"/>
        <v>0</v>
      </c>
      <c r="N902" s="804"/>
      <c r="O902" s="784">
        <f t="shared" si="82"/>
        <v>0</v>
      </c>
      <c r="P902" s="784">
        <f t="shared" si="83"/>
        <v>0</v>
      </c>
    </row>
    <row r="903" spans="3:16" ht="12.75">
      <c r="C903" s="780">
        <f>IF(D866="","-",+C902+1)</f>
        <v>2048</v>
      </c>
      <c r="D903" s="728">
        <f t="shared" si="84"/>
        <v>6527887.760416666</v>
      </c>
      <c r="E903" s="781">
        <f t="shared" si="86"/>
        <v>193897.65625</v>
      </c>
      <c r="F903" s="781">
        <f t="shared" si="80"/>
        <v>6333990.104166666</v>
      </c>
      <c r="G903" s="728">
        <f t="shared" si="85"/>
        <v>6430938.932291666</v>
      </c>
      <c r="H903" s="786">
        <f>+J867*G903+E903</f>
        <v>910132.1986550157</v>
      </c>
      <c r="I903" s="787">
        <f>+J868*G903+E903</f>
        <v>910132.1986550157</v>
      </c>
      <c r="J903" s="784">
        <f t="shared" si="87"/>
        <v>0</v>
      </c>
      <c r="K903" s="784"/>
      <c r="L903" s="804"/>
      <c r="M903" s="784">
        <f t="shared" si="81"/>
        <v>0</v>
      </c>
      <c r="N903" s="804"/>
      <c r="O903" s="784">
        <f t="shared" si="82"/>
        <v>0</v>
      </c>
      <c r="P903" s="784">
        <f t="shared" si="83"/>
        <v>0</v>
      </c>
    </row>
    <row r="904" spans="3:16" ht="12.75">
      <c r="C904" s="780">
        <f>IF(D866="","-",+C903+1)</f>
        <v>2049</v>
      </c>
      <c r="D904" s="728">
        <f t="shared" si="84"/>
        <v>6333990.104166666</v>
      </c>
      <c r="E904" s="781">
        <f t="shared" si="86"/>
        <v>193897.65625</v>
      </c>
      <c r="F904" s="781">
        <f t="shared" si="80"/>
        <v>6140092.447916666</v>
      </c>
      <c r="G904" s="728">
        <f t="shared" si="85"/>
        <v>6237041.276041666</v>
      </c>
      <c r="H904" s="786">
        <f>+J867*G904+E904</f>
        <v>888537.1873262213</v>
      </c>
      <c r="I904" s="787">
        <f>+J868*G904+E904</f>
        <v>888537.1873262213</v>
      </c>
      <c r="J904" s="784">
        <f t="shared" si="87"/>
        <v>0</v>
      </c>
      <c r="K904" s="784"/>
      <c r="L904" s="804"/>
      <c r="M904" s="784">
        <f t="shared" si="81"/>
        <v>0</v>
      </c>
      <c r="N904" s="804"/>
      <c r="O904" s="784">
        <f t="shared" si="82"/>
        <v>0</v>
      </c>
      <c r="P904" s="784">
        <f t="shared" si="83"/>
        <v>0</v>
      </c>
    </row>
    <row r="905" spans="3:16" ht="12.75">
      <c r="C905" s="780">
        <f>IF(D866="","-",+C904+1)</f>
        <v>2050</v>
      </c>
      <c r="D905" s="728">
        <f t="shared" si="84"/>
        <v>6140092.447916666</v>
      </c>
      <c r="E905" s="781">
        <f t="shared" si="86"/>
        <v>193897.65625</v>
      </c>
      <c r="F905" s="781">
        <f t="shared" si="80"/>
        <v>5946194.791666666</v>
      </c>
      <c r="G905" s="728">
        <f t="shared" si="85"/>
        <v>6043143.619791666</v>
      </c>
      <c r="H905" s="786">
        <f>+J867*G905+E905</f>
        <v>866942.1759974267</v>
      </c>
      <c r="I905" s="787">
        <f>+J868*G905+E905</f>
        <v>866942.1759974267</v>
      </c>
      <c r="J905" s="784">
        <f t="shared" si="87"/>
        <v>0</v>
      </c>
      <c r="K905" s="784"/>
      <c r="L905" s="804"/>
      <c r="M905" s="784">
        <f t="shared" si="81"/>
        <v>0</v>
      </c>
      <c r="N905" s="804"/>
      <c r="O905" s="784">
        <f t="shared" si="82"/>
        <v>0</v>
      </c>
      <c r="P905" s="784">
        <f t="shared" si="83"/>
        <v>0</v>
      </c>
    </row>
    <row r="906" spans="3:16" ht="12.75">
      <c r="C906" s="780">
        <f>IF(D866="","-",+C905+1)</f>
        <v>2051</v>
      </c>
      <c r="D906" s="728">
        <f t="shared" si="84"/>
        <v>5946194.791666666</v>
      </c>
      <c r="E906" s="781">
        <f t="shared" si="86"/>
        <v>193897.65625</v>
      </c>
      <c r="F906" s="781">
        <f t="shared" si="80"/>
        <v>5752297.135416666</v>
      </c>
      <c r="G906" s="728">
        <f t="shared" si="85"/>
        <v>5849245.963541666</v>
      </c>
      <c r="H906" s="786">
        <f>+J867*G906+E906</f>
        <v>845347.1646686323</v>
      </c>
      <c r="I906" s="787">
        <f>+J868*G906+E906</f>
        <v>845347.1646686323</v>
      </c>
      <c r="J906" s="784">
        <f t="shared" si="87"/>
        <v>0</v>
      </c>
      <c r="K906" s="784"/>
      <c r="L906" s="804"/>
      <c r="M906" s="784">
        <f t="shared" si="81"/>
        <v>0</v>
      </c>
      <c r="N906" s="804"/>
      <c r="O906" s="784">
        <f t="shared" si="82"/>
        <v>0</v>
      </c>
      <c r="P906" s="784">
        <f t="shared" si="83"/>
        <v>0</v>
      </c>
    </row>
    <row r="907" spans="3:16" ht="12.75">
      <c r="C907" s="780">
        <f>IF(D866="","-",+C906+1)</f>
        <v>2052</v>
      </c>
      <c r="D907" s="728">
        <f t="shared" si="84"/>
        <v>5752297.135416666</v>
      </c>
      <c r="E907" s="781">
        <f t="shared" si="86"/>
        <v>193897.65625</v>
      </c>
      <c r="F907" s="781">
        <f t="shared" si="80"/>
        <v>5558399.479166666</v>
      </c>
      <c r="G907" s="728">
        <f t="shared" si="85"/>
        <v>5655348.307291666</v>
      </c>
      <c r="H907" s="786">
        <f>+J867*G907+E907</f>
        <v>823752.1533398379</v>
      </c>
      <c r="I907" s="787">
        <f>+J868*G907+E907</f>
        <v>823752.1533398379</v>
      </c>
      <c r="J907" s="784">
        <f t="shared" si="87"/>
        <v>0</v>
      </c>
      <c r="K907" s="784"/>
      <c r="L907" s="804"/>
      <c r="M907" s="784">
        <f t="shared" si="81"/>
        <v>0</v>
      </c>
      <c r="N907" s="804"/>
      <c r="O907" s="784">
        <f t="shared" si="82"/>
        <v>0</v>
      </c>
      <c r="P907" s="784">
        <f t="shared" si="83"/>
        <v>0</v>
      </c>
    </row>
    <row r="908" spans="3:16" ht="12.75">
      <c r="C908" s="780">
        <f>IF(D866="","-",+C907+1)</f>
        <v>2053</v>
      </c>
      <c r="D908" s="728">
        <f t="shared" si="84"/>
        <v>5558399.479166666</v>
      </c>
      <c r="E908" s="781">
        <f t="shared" si="86"/>
        <v>193897.65625</v>
      </c>
      <c r="F908" s="781">
        <f t="shared" si="80"/>
        <v>5364501.822916666</v>
      </c>
      <c r="G908" s="728">
        <f t="shared" si="85"/>
        <v>5461450.651041666</v>
      </c>
      <c r="H908" s="786">
        <f>+J867*G908+E908</f>
        <v>802157.1420110435</v>
      </c>
      <c r="I908" s="787">
        <f>+J868*G908+E908</f>
        <v>802157.1420110435</v>
      </c>
      <c r="J908" s="784">
        <f t="shared" si="87"/>
        <v>0</v>
      </c>
      <c r="K908" s="784"/>
      <c r="L908" s="804"/>
      <c r="M908" s="784">
        <f t="shared" si="81"/>
        <v>0</v>
      </c>
      <c r="N908" s="804"/>
      <c r="O908" s="784">
        <f t="shared" si="82"/>
        <v>0</v>
      </c>
      <c r="P908" s="784">
        <f t="shared" si="83"/>
        <v>0</v>
      </c>
    </row>
    <row r="909" spans="3:16" ht="12.75">
      <c r="C909" s="780">
        <f>IF(D866="","-",+C908+1)</f>
        <v>2054</v>
      </c>
      <c r="D909" s="728">
        <f t="shared" si="84"/>
        <v>5364501.822916666</v>
      </c>
      <c r="E909" s="781">
        <f t="shared" si="86"/>
        <v>193897.65625</v>
      </c>
      <c r="F909" s="781">
        <f t="shared" si="80"/>
        <v>5170604.166666666</v>
      </c>
      <c r="G909" s="728">
        <f t="shared" si="85"/>
        <v>5267552.994791666</v>
      </c>
      <c r="H909" s="786">
        <f>+J867*G909+E909</f>
        <v>780562.130682249</v>
      </c>
      <c r="I909" s="787">
        <f>+J868*G909+E909</f>
        <v>780562.130682249</v>
      </c>
      <c r="J909" s="784">
        <f t="shared" si="87"/>
        <v>0</v>
      </c>
      <c r="K909" s="784"/>
      <c r="L909" s="804"/>
      <c r="M909" s="784">
        <f t="shared" si="81"/>
        <v>0</v>
      </c>
      <c r="N909" s="804"/>
      <c r="O909" s="784">
        <f t="shared" si="82"/>
        <v>0</v>
      </c>
      <c r="P909" s="784">
        <f t="shared" si="83"/>
        <v>0</v>
      </c>
    </row>
    <row r="910" spans="3:16" ht="12.75">
      <c r="C910" s="780">
        <f>IF(D866="","-",+C909+1)</f>
        <v>2055</v>
      </c>
      <c r="D910" s="728">
        <f t="shared" si="84"/>
        <v>5170604.166666666</v>
      </c>
      <c r="E910" s="781">
        <f t="shared" si="86"/>
        <v>193897.65625</v>
      </c>
      <c r="F910" s="781">
        <f t="shared" si="80"/>
        <v>4976706.510416666</v>
      </c>
      <c r="G910" s="728">
        <f t="shared" si="85"/>
        <v>5073655.338541666</v>
      </c>
      <c r="H910" s="786">
        <f>+J867*G910+E910</f>
        <v>758967.1193534546</v>
      </c>
      <c r="I910" s="787">
        <f>+J868*G910+E910</f>
        <v>758967.1193534546</v>
      </c>
      <c r="J910" s="784">
        <f t="shared" si="87"/>
        <v>0</v>
      </c>
      <c r="K910" s="784"/>
      <c r="L910" s="804"/>
      <c r="M910" s="784">
        <f t="shared" si="81"/>
        <v>0</v>
      </c>
      <c r="N910" s="804"/>
      <c r="O910" s="784">
        <f t="shared" si="82"/>
        <v>0</v>
      </c>
      <c r="P910" s="784">
        <f t="shared" si="83"/>
        <v>0</v>
      </c>
    </row>
    <row r="911" spans="3:16" ht="12.75">
      <c r="C911" s="780">
        <f>IF(D866="","-",+C910+1)</f>
        <v>2056</v>
      </c>
      <c r="D911" s="728">
        <f t="shared" si="84"/>
        <v>4976706.510416666</v>
      </c>
      <c r="E911" s="781">
        <f t="shared" si="86"/>
        <v>193897.65625</v>
      </c>
      <c r="F911" s="781">
        <f t="shared" si="80"/>
        <v>4782808.854166666</v>
      </c>
      <c r="G911" s="728">
        <f t="shared" si="85"/>
        <v>4879757.682291666</v>
      </c>
      <c r="H911" s="786">
        <f>+J867*G911+E911</f>
        <v>737372.1080246601</v>
      </c>
      <c r="I911" s="787">
        <f>+J868*G911+E911</f>
        <v>737372.1080246601</v>
      </c>
      <c r="J911" s="784">
        <f t="shared" si="87"/>
        <v>0</v>
      </c>
      <c r="K911" s="784"/>
      <c r="L911" s="804"/>
      <c r="M911" s="784">
        <f t="shared" si="81"/>
        <v>0</v>
      </c>
      <c r="N911" s="804"/>
      <c r="O911" s="784">
        <f t="shared" si="82"/>
        <v>0</v>
      </c>
      <c r="P911" s="784">
        <f t="shared" si="83"/>
        <v>0</v>
      </c>
    </row>
    <row r="912" spans="3:16" ht="12.75">
      <c r="C912" s="780">
        <f>IF(D866="","-",+C911+1)</f>
        <v>2057</v>
      </c>
      <c r="D912" s="728">
        <f t="shared" si="84"/>
        <v>4782808.854166666</v>
      </c>
      <c r="E912" s="781">
        <f t="shared" si="86"/>
        <v>193897.65625</v>
      </c>
      <c r="F912" s="781">
        <f t="shared" si="80"/>
        <v>4588911.197916666</v>
      </c>
      <c r="G912" s="728">
        <f t="shared" si="85"/>
        <v>4685860.026041666</v>
      </c>
      <c r="H912" s="786">
        <f>+J867*G912+E912</f>
        <v>715777.0966958657</v>
      </c>
      <c r="I912" s="787">
        <f>+J868*G912+E912</f>
        <v>715777.0966958657</v>
      </c>
      <c r="J912" s="784">
        <f t="shared" si="87"/>
        <v>0</v>
      </c>
      <c r="K912" s="784"/>
      <c r="L912" s="804"/>
      <c r="M912" s="784">
        <f t="shared" si="81"/>
        <v>0</v>
      </c>
      <c r="N912" s="804"/>
      <c r="O912" s="784">
        <f t="shared" si="82"/>
        <v>0</v>
      </c>
      <c r="P912" s="784">
        <f t="shared" si="83"/>
        <v>0</v>
      </c>
    </row>
    <row r="913" spans="3:16" ht="12.75">
      <c r="C913" s="780">
        <f>IF(D866="","-",+C912+1)</f>
        <v>2058</v>
      </c>
      <c r="D913" s="728">
        <f t="shared" si="84"/>
        <v>4588911.197916666</v>
      </c>
      <c r="E913" s="781">
        <f t="shared" si="86"/>
        <v>193897.65625</v>
      </c>
      <c r="F913" s="781">
        <f t="shared" si="80"/>
        <v>4395013.541666666</v>
      </c>
      <c r="G913" s="728">
        <f t="shared" si="85"/>
        <v>4491962.369791666</v>
      </c>
      <c r="H913" s="786">
        <f>+J867*G913+E913</f>
        <v>694182.0853670712</v>
      </c>
      <c r="I913" s="787">
        <f>+J868*G913+E913</f>
        <v>694182.0853670712</v>
      </c>
      <c r="J913" s="784">
        <f t="shared" si="87"/>
        <v>0</v>
      </c>
      <c r="K913" s="784"/>
      <c r="L913" s="804"/>
      <c r="M913" s="784">
        <f t="shared" si="81"/>
        <v>0</v>
      </c>
      <c r="N913" s="804"/>
      <c r="O913" s="784">
        <f t="shared" si="82"/>
        <v>0</v>
      </c>
      <c r="P913" s="784">
        <f t="shared" si="83"/>
        <v>0</v>
      </c>
    </row>
    <row r="914" spans="3:16" ht="12.75">
      <c r="C914" s="780">
        <f>IF(D866="","-",+C913+1)</f>
        <v>2059</v>
      </c>
      <c r="D914" s="728">
        <f t="shared" si="84"/>
        <v>4395013.541666666</v>
      </c>
      <c r="E914" s="781">
        <f t="shared" si="86"/>
        <v>193897.65625</v>
      </c>
      <c r="F914" s="781">
        <f t="shared" si="80"/>
        <v>4201115.885416666</v>
      </c>
      <c r="G914" s="728">
        <f t="shared" si="85"/>
        <v>4298064.713541666</v>
      </c>
      <c r="H914" s="786">
        <f>+J867*G914+E914</f>
        <v>672587.0740382768</v>
      </c>
      <c r="I914" s="787">
        <f>+J868*G914+E914</f>
        <v>672587.0740382768</v>
      </c>
      <c r="J914" s="784">
        <f t="shared" si="87"/>
        <v>0</v>
      </c>
      <c r="K914" s="784"/>
      <c r="L914" s="804"/>
      <c r="M914" s="784">
        <f t="shared" si="81"/>
        <v>0</v>
      </c>
      <c r="N914" s="804"/>
      <c r="O914" s="784">
        <f t="shared" si="82"/>
        <v>0</v>
      </c>
      <c r="P914" s="784">
        <f t="shared" si="83"/>
        <v>0</v>
      </c>
    </row>
    <row r="915" spans="3:16" ht="12.75">
      <c r="C915" s="780">
        <f>IF(D866="","-",+C914+1)</f>
        <v>2060</v>
      </c>
      <c r="D915" s="728">
        <f t="shared" si="84"/>
        <v>4201115.885416666</v>
      </c>
      <c r="E915" s="781">
        <f t="shared" si="86"/>
        <v>193897.65625</v>
      </c>
      <c r="F915" s="781">
        <f t="shared" si="80"/>
        <v>4007218.229166666</v>
      </c>
      <c r="G915" s="728">
        <f t="shared" si="85"/>
        <v>4104167.057291666</v>
      </c>
      <c r="H915" s="786">
        <f>+J867*G915+E915</f>
        <v>650992.0627094824</v>
      </c>
      <c r="I915" s="787">
        <f>+J868*G915+E915</f>
        <v>650992.0627094824</v>
      </c>
      <c r="J915" s="784">
        <f t="shared" si="87"/>
        <v>0</v>
      </c>
      <c r="K915" s="784"/>
      <c r="L915" s="804"/>
      <c r="M915" s="784">
        <f t="shared" si="81"/>
        <v>0</v>
      </c>
      <c r="N915" s="804"/>
      <c r="O915" s="784">
        <f t="shared" si="82"/>
        <v>0</v>
      </c>
      <c r="P915" s="784">
        <f t="shared" si="83"/>
        <v>0</v>
      </c>
    </row>
    <row r="916" spans="3:16" ht="12.75">
      <c r="C916" s="780">
        <f>IF(D866="","-",+C915+1)</f>
        <v>2061</v>
      </c>
      <c r="D916" s="728">
        <f t="shared" si="84"/>
        <v>4007218.229166666</v>
      </c>
      <c r="E916" s="781">
        <f t="shared" si="86"/>
        <v>193897.65625</v>
      </c>
      <c r="F916" s="781">
        <f t="shared" si="80"/>
        <v>3813320.572916666</v>
      </c>
      <c r="G916" s="728">
        <f t="shared" si="85"/>
        <v>3910269.401041666</v>
      </c>
      <c r="H916" s="786">
        <f>+J867*G916+E916</f>
        <v>629397.0513806879</v>
      </c>
      <c r="I916" s="787">
        <f>+J868*G916+E916</f>
        <v>629397.0513806879</v>
      </c>
      <c r="J916" s="784">
        <f t="shared" si="87"/>
        <v>0</v>
      </c>
      <c r="K916" s="784"/>
      <c r="L916" s="804"/>
      <c r="M916" s="784">
        <f t="shared" si="81"/>
        <v>0</v>
      </c>
      <c r="N916" s="804"/>
      <c r="O916" s="784">
        <f t="shared" si="82"/>
        <v>0</v>
      </c>
      <c r="P916" s="784">
        <f t="shared" si="83"/>
        <v>0</v>
      </c>
    </row>
    <row r="917" spans="3:16" ht="12.75">
      <c r="C917" s="780">
        <f>IF(D866="","-",+C916+1)</f>
        <v>2062</v>
      </c>
      <c r="D917" s="728">
        <f t="shared" si="84"/>
        <v>3813320.572916666</v>
      </c>
      <c r="E917" s="781">
        <f t="shared" si="86"/>
        <v>193897.65625</v>
      </c>
      <c r="F917" s="781">
        <f t="shared" si="80"/>
        <v>3619422.916666666</v>
      </c>
      <c r="G917" s="728">
        <f t="shared" si="85"/>
        <v>3716371.744791666</v>
      </c>
      <c r="H917" s="786">
        <f>+J867*G917+E917</f>
        <v>607802.0400518934</v>
      </c>
      <c r="I917" s="787">
        <f>+J868*G917+E917</f>
        <v>607802.0400518934</v>
      </c>
      <c r="J917" s="784">
        <f t="shared" si="87"/>
        <v>0</v>
      </c>
      <c r="K917" s="784"/>
      <c r="L917" s="804"/>
      <c r="M917" s="784">
        <f t="shared" si="81"/>
        <v>0</v>
      </c>
      <c r="N917" s="804"/>
      <c r="O917" s="784">
        <f t="shared" si="82"/>
        <v>0</v>
      </c>
      <c r="P917" s="784">
        <f t="shared" si="83"/>
        <v>0</v>
      </c>
    </row>
    <row r="918" spans="3:16" ht="12.75">
      <c r="C918" s="780">
        <f>IF(D866="","-",+C917+1)</f>
        <v>2063</v>
      </c>
      <c r="D918" s="728">
        <f t="shared" si="84"/>
        <v>3619422.916666666</v>
      </c>
      <c r="E918" s="781">
        <f t="shared" si="86"/>
        <v>193897.65625</v>
      </c>
      <c r="F918" s="781">
        <f t="shared" si="80"/>
        <v>3425525.260416666</v>
      </c>
      <c r="G918" s="728">
        <f t="shared" si="85"/>
        <v>3522474.088541666</v>
      </c>
      <c r="H918" s="786">
        <f>+J867*G918+E918</f>
        <v>586207.028723099</v>
      </c>
      <c r="I918" s="787">
        <f>+J868*G918+E918</f>
        <v>586207.028723099</v>
      </c>
      <c r="J918" s="784">
        <f t="shared" si="87"/>
        <v>0</v>
      </c>
      <c r="K918" s="784"/>
      <c r="L918" s="804"/>
      <c r="M918" s="784">
        <f t="shared" si="81"/>
        <v>0</v>
      </c>
      <c r="N918" s="804"/>
      <c r="O918" s="784">
        <f t="shared" si="82"/>
        <v>0</v>
      </c>
      <c r="P918" s="784">
        <f t="shared" si="83"/>
        <v>0</v>
      </c>
    </row>
    <row r="919" spans="3:16" ht="12.75">
      <c r="C919" s="780">
        <f>IF(D866="","-",+C918+1)</f>
        <v>2064</v>
      </c>
      <c r="D919" s="728">
        <f t="shared" si="84"/>
        <v>3425525.260416666</v>
      </c>
      <c r="E919" s="781">
        <f t="shared" si="86"/>
        <v>193897.65625</v>
      </c>
      <c r="F919" s="781">
        <f t="shared" si="80"/>
        <v>3231627.604166666</v>
      </c>
      <c r="G919" s="728">
        <f t="shared" si="85"/>
        <v>3328576.432291666</v>
      </c>
      <c r="H919" s="786">
        <f>+J867*G919+E919</f>
        <v>564612.0173943045</v>
      </c>
      <c r="I919" s="787">
        <f>+J868*G919+E919</f>
        <v>564612.0173943045</v>
      </c>
      <c r="J919" s="784">
        <f t="shared" si="87"/>
        <v>0</v>
      </c>
      <c r="K919" s="784"/>
      <c r="L919" s="804"/>
      <c r="M919" s="784">
        <f t="shared" si="81"/>
        <v>0</v>
      </c>
      <c r="N919" s="804"/>
      <c r="O919" s="784">
        <f t="shared" si="82"/>
        <v>0</v>
      </c>
      <c r="P919" s="784">
        <f t="shared" si="83"/>
        <v>0</v>
      </c>
    </row>
    <row r="920" spans="3:16" ht="12.75">
      <c r="C920" s="780">
        <f>IF(D866="","-",+C919+1)</f>
        <v>2065</v>
      </c>
      <c r="D920" s="728">
        <f t="shared" si="84"/>
        <v>3231627.604166666</v>
      </c>
      <c r="E920" s="781">
        <f t="shared" si="86"/>
        <v>193897.65625</v>
      </c>
      <c r="F920" s="781">
        <f t="shared" si="80"/>
        <v>3037729.947916666</v>
      </c>
      <c r="G920" s="728">
        <f t="shared" si="85"/>
        <v>3134678.776041666</v>
      </c>
      <c r="H920" s="786">
        <f>+J867*G920+E920</f>
        <v>543017.0060655101</v>
      </c>
      <c r="I920" s="787">
        <f>+J868*G920+E920</f>
        <v>543017.0060655101</v>
      </c>
      <c r="J920" s="784">
        <f t="shared" si="87"/>
        <v>0</v>
      </c>
      <c r="K920" s="784"/>
      <c r="L920" s="804"/>
      <c r="M920" s="784">
        <f t="shared" si="81"/>
        <v>0</v>
      </c>
      <c r="N920" s="804"/>
      <c r="O920" s="784">
        <f t="shared" si="82"/>
        <v>0</v>
      </c>
      <c r="P920" s="784">
        <f t="shared" si="83"/>
        <v>0</v>
      </c>
    </row>
    <row r="921" spans="3:16" ht="12.75">
      <c r="C921" s="780">
        <f>IF(D866="","-",+C920+1)</f>
        <v>2066</v>
      </c>
      <c r="D921" s="728">
        <f t="shared" si="84"/>
        <v>3037729.947916666</v>
      </c>
      <c r="E921" s="781">
        <f t="shared" si="86"/>
        <v>193897.65625</v>
      </c>
      <c r="F921" s="781">
        <f t="shared" si="80"/>
        <v>2843832.291666666</v>
      </c>
      <c r="G921" s="728">
        <f t="shared" si="85"/>
        <v>2940781.119791666</v>
      </c>
      <c r="H921" s="786">
        <f>+J867*G921+E921</f>
        <v>521421.9947367157</v>
      </c>
      <c r="I921" s="787">
        <f>+J868*G921+E921</f>
        <v>521421.9947367157</v>
      </c>
      <c r="J921" s="784">
        <f t="shared" si="87"/>
        <v>0</v>
      </c>
      <c r="K921" s="784"/>
      <c r="L921" s="804"/>
      <c r="M921" s="784">
        <f t="shared" si="81"/>
        <v>0</v>
      </c>
      <c r="N921" s="804"/>
      <c r="O921" s="784">
        <f t="shared" si="82"/>
        <v>0</v>
      </c>
      <c r="P921" s="784">
        <f t="shared" si="83"/>
        <v>0</v>
      </c>
    </row>
    <row r="922" spans="3:16" ht="12.75">
      <c r="C922" s="780">
        <f>IF(D866="","-",+C921+1)</f>
        <v>2067</v>
      </c>
      <c r="D922" s="728">
        <f t="shared" si="84"/>
        <v>2843832.291666666</v>
      </c>
      <c r="E922" s="781">
        <f t="shared" si="86"/>
        <v>193897.65625</v>
      </c>
      <c r="F922" s="781">
        <f t="shared" si="80"/>
        <v>2649934.635416666</v>
      </c>
      <c r="G922" s="728">
        <f t="shared" si="85"/>
        <v>2746883.463541666</v>
      </c>
      <c r="H922" s="786">
        <f>+J867*G922+E922</f>
        <v>499826.9834079212</v>
      </c>
      <c r="I922" s="787">
        <f>+J868*G922+E922</f>
        <v>499826.9834079212</v>
      </c>
      <c r="J922" s="784">
        <f t="shared" si="87"/>
        <v>0</v>
      </c>
      <c r="K922" s="784"/>
      <c r="L922" s="804"/>
      <c r="M922" s="784">
        <f t="shared" si="81"/>
        <v>0</v>
      </c>
      <c r="N922" s="804"/>
      <c r="O922" s="784">
        <f t="shared" si="82"/>
        <v>0</v>
      </c>
      <c r="P922" s="784">
        <f t="shared" si="83"/>
        <v>0</v>
      </c>
    </row>
    <row r="923" spans="3:16" ht="12.75">
      <c r="C923" s="780">
        <f>IF(D866="","-",+C922+1)</f>
        <v>2068</v>
      </c>
      <c r="D923" s="728">
        <f t="shared" si="84"/>
        <v>2649934.635416666</v>
      </c>
      <c r="E923" s="781">
        <f t="shared" si="86"/>
        <v>193897.65625</v>
      </c>
      <c r="F923" s="781">
        <f t="shared" si="80"/>
        <v>2456036.979166666</v>
      </c>
      <c r="G923" s="728">
        <f t="shared" si="85"/>
        <v>2552985.807291666</v>
      </c>
      <c r="H923" s="786">
        <f>+J867*G923+E923</f>
        <v>478231.9720791268</v>
      </c>
      <c r="I923" s="787">
        <f>+J868*G923+E923</f>
        <v>478231.9720791268</v>
      </c>
      <c r="J923" s="784">
        <f t="shared" si="87"/>
        <v>0</v>
      </c>
      <c r="K923" s="784"/>
      <c r="L923" s="804"/>
      <c r="M923" s="784">
        <f t="shared" si="81"/>
        <v>0</v>
      </c>
      <c r="N923" s="804"/>
      <c r="O923" s="784">
        <f t="shared" si="82"/>
        <v>0</v>
      </c>
      <c r="P923" s="784">
        <f t="shared" si="83"/>
        <v>0</v>
      </c>
    </row>
    <row r="924" spans="3:16" ht="12.75">
      <c r="C924" s="780">
        <f>IF(D866="","-",+C923+1)</f>
        <v>2069</v>
      </c>
      <c r="D924" s="728">
        <f t="shared" si="84"/>
        <v>2456036.979166666</v>
      </c>
      <c r="E924" s="781">
        <f t="shared" si="86"/>
        <v>193897.65625</v>
      </c>
      <c r="F924" s="781">
        <f t="shared" si="80"/>
        <v>2262139.322916666</v>
      </c>
      <c r="G924" s="728">
        <f t="shared" si="85"/>
        <v>2359088.151041666</v>
      </c>
      <c r="H924" s="786">
        <f>+J867*G924+E924</f>
        <v>456636.96075033234</v>
      </c>
      <c r="I924" s="787">
        <f>+J868*G924+E924</f>
        <v>456636.96075033234</v>
      </c>
      <c r="J924" s="784">
        <f t="shared" si="87"/>
        <v>0</v>
      </c>
      <c r="K924" s="784"/>
      <c r="L924" s="804"/>
      <c r="M924" s="784">
        <f t="shared" si="81"/>
        <v>0</v>
      </c>
      <c r="N924" s="804"/>
      <c r="O924" s="784">
        <f t="shared" si="82"/>
        <v>0</v>
      </c>
      <c r="P924" s="784">
        <f t="shared" si="83"/>
        <v>0</v>
      </c>
    </row>
    <row r="925" spans="3:16" ht="12.75">
      <c r="C925" s="780">
        <f>IF(D866="","-",+C924+1)</f>
        <v>2070</v>
      </c>
      <c r="D925" s="728">
        <f t="shared" si="84"/>
        <v>2262139.322916666</v>
      </c>
      <c r="E925" s="781">
        <f t="shared" si="86"/>
        <v>193897.65625</v>
      </c>
      <c r="F925" s="781">
        <f t="shared" si="80"/>
        <v>2068241.666666666</v>
      </c>
      <c r="G925" s="728">
        <f t="shared" si="85"/>
        <v>2165190.494791666</v>
      </c>
      <c r="H925" s="786">
        <f>+J867*G925+E925</f>
        <v>435041.9494215379</v>
      </c>
      <c r="I925" s="787">
        <f>+J868*G925+E925</f>
        <v>435041.9494215379</v>
      </c>
      <c r="J925" s="784">
        <f t="shared" si="87"/>
        <v>0</v>
      </c>
      <c r="K925" s="784"/>
      <c r="L925" s="804"/>
      <c r="M925" s="784">
        <f t="shared" si="81"/>
        <v>0</v>
      </c>
      <c r="N925" s="804"/>
      <c r="O925" s="784">
        <f t="shared" si="82"/>
        <v>0</v>
      </c>
      <c r="P925" s="784">
        <f t="shared" si="83"/>
        <v>0</v>
      </c>
    </row>
    <row r="926" spans="3:16" ht="12.75">
      <c r="C926" s="780">
        <f>IF(D866="","-",+C925+1)</f>
        <v>2071</v>
      </c>
      <c r="D926" s="728">
        <f aca="true" t="shared" si="88" ref="D926:D931">F925</f>
        <v>2068241.666666666</v>
      </c>
      <c r="E926" s="781">
        <f t="shared" si="86"/>
        <v>193897.65625</v>
      </c>
      <c r="F926" s="781">
        <f t="shared" si="80"/>
        <v>1874344.010416666</v>
      </c>
      <c r="G926" s="728">
        <f t="shared" si="85"/>
        <v>1971292.838541666</v>
      </c>
      <c r="H926" s="786">
        <f>+J867*G926+E926</f>
        <v>413446.93809274345</v>
      </c>
      <c r="I926" s="787">
        <f>+J868*G926+E926</f>
        <v>413446.93809274345</v>
      </c>
      <c r="J926" s="784">
        <f t="shared" si="87"/>
        <v>0</v>
      </c>
      <c r="K926" s="784"/>
      <c r="L926" s="804"/>
      <c r="M926" s="784">
        <f t="shared" si="81"/>
        <v>0</v>
      </c>
      <c r="N926" s="804"/>
      <c r="O926" s="784">
        <f t="shared" si="82"/>
        <v>0</v>
      </c>
      <c r="P926" s="784">
        <f t="shared" si="83"/>
        <v>0</v>
      </c>
    </row>
    <row r="927" spans="3:16" ht="12.75">
      <c r="C927" s="780">
        <f>IF(D866="","-",+C926+1)</f>
        <v>2072</v>
      </c>
      <c r="D927" s="728">
        <f t="shared" si="88"/>
        <v>1874344.010416666</v>
      </c>
      <c r="E927" s="781">
        <f t="shared" si="86"/>
        <v>193897.65625</v>
      </c>
      <c r="F927" s="781">
        <f t="shared" si="80"/>
        <v>1680446.354166666</v>
      </c>
      <c r="G927" s="728">
        <f t="shared" si="85"/>
        <v>1777395.182291666</v>
      </c>
      <c r="H927" s="786">
        <f>+J867*G927+E927</f>
        <v>391851.926763949</v>
      </c>
      <c r="I927" s="787">
        <f>+J868*G927+E927</f>
        <v>391851.926763949</v>
      </c>
      <c r="J927" s="784">
        <f t="shared" si="87"/>
        <v>0</v>
      </c>
      <c r="K927" s="784"/>
      <c r="L927" s="804"/>
      <c r="M927" s="784">
        <f t="shared" si="81"/>
        <v>0</v>
      </c>
      <c r="N927" s="804"/>
      <c r="O927" s="784">
        <f t="shared" si="82"/>
        <v>0</v>
      </c>
      <c r="P927" s="784">
        <f t="shared" si="83"/>
        <v>0</v>
      </c>
    </row>
    <row r="928" spans="3:16" ht="12.75">
      <c r="C928" s="780">
        <f>IF(D866="","-",+C927+1)</f>
        <v>2073</v>
      </c>
      <c r="D928" s="728">
        <f t="shared" si="88"/>
        <v>1680446.354166666</v>
      </c>
      <c r="E928" s="781">
        <f t="shared" si="86"/>
        <v>193897.65625</v>
      </c>
      <c r="F928" s="781">
        <f t="shared" si="80"/>
        <v>1486548.697916666</v>
      </c>
      <c r="G928" s="728">
        <f t="shared" si="85"/>
        <v>1583497.526041666</v>
      </c>
      <c r="H928" s="786">
        <f>+J867*G928+E928</f>
        <v>370256.9154351546</v>
      </c>
      <c r="I928" s="787">
        <f>+J868*G928+E928</f>
        <v>370256.9154351546</v>
      </c>
      <c r="J928" s="784">
        <f t="shared" si="87"/>
        <v>0</v>
      </c>
      <c r="K928" s="784"/>
      <c r="L928" s="804"/>
      <c r="M928" s="784">
        <f t="shared" si="81"/>
        <v>0</v>
      </c>
      <c r="N928" s="804"/>
      <c r="O928" s="784">
        <f t="shared" si="82"/>
        <v>0</v>
      </c>
      <c r="P928" s="784">
        <f t="shared" si="83"/>
        <v>0</v>
      </c>
    </row>
    <row r="929" spans="3:16" ht="12.75">
      <c r="C929" s="780">
        <f>IF(D866="","-",+C928+1)</f>
        <v>2074</v>
      </c>
      <c r="D929" s="728">
        <f t="shared" si="88"/>
        <v>1486548.697916666</v>
      </c>
      <c r="E929" s="781">
        <f t="shared" si="86"/>
        <v>193897.65625</v>
      </c>
      <c r="F929" s="781">
        <f t="shared" si="80"/>
        <v>1292651.041666666</v>
      </c>
      <c r="G929" s="728">
        <f t="shared" si="85"/>
        <v>1389599.869791666</v>
      </c>
      <c r="H929" s="786">
        <f>+J867*G929+E929</f>
        <v>348661.9041063601</v>
      </c>
      <c r="I929" s="787">
        <f>+J868*G929+E929</f>
        <v>348661.9041063601</v>
      </c>
      <c r="J929" s="784">
        <f t="shared" si="87"/>
        <v>0</v>
      </c>
      <c r="K929" s="784"/>
      <c r="L929" s="804"/>
      <c r="M929" s="784">
        <f t="shared" si="81"/>
        <v>0</v>
      </c>
      <c r="N929" s="804"/>
      <c r="O929" s="784">
        <f t="shared" si="82"/>
        <v>0</v>
      </c>
      <c r="P929" s="784">
        <f t="shared" si="83"/>
        <v>0</v>
      </c>
    </row>
    <row r="930" spans="3:16" ht="12.75">
      <c r="C930" s="780">
        <f>IF(D866="","-",+C929+1)</f>
        <v>2075</v>
      </c>
      <c r="D930" s="728">
        <f t="shared" si="88"/>
        <v>1292651.041666666</v>
      </c>
      <c r="E930" s="781">
        <f t="shared" si="86"/>
        <v>193897.65625</v>
      </c>
      <c r="F930" s="781">
        <f t="shared" si="80"/>
        <v>1098753.385416666</v>
      </c>
      <c r="G930" s="728">
        <f t="shared" si="85"/>
        <v>1195702.213541666</v>
      </c>
      <c r="H930" s="786">
        <f>+J867*G930+E930</f>
        <v>327066.89277756563</v>
      </c>
      <c r="I930" s="787">
        <f>+J868*G930+E930</f>
        <v>327066.89277756563</v>
      </c>
      <c r="J930" s="784">
        <f t="shared" si="87"/>
        <v>0</v>
      </c>
      <c r="K930" s="784"/>
      <c r="L930" s="804"/>
      <c r="M930" s="784">
        <f t="shared" si="81"/>
        <v>0</v>
      </c>
      <c r="N930" s="804"/>
      <c r="O930" s="784">
        <f t="shared" si="82"/>
        <v>0</v>
      </c>
      <c r="P930" s="784">
        <f t="shared" si="83"/>
        <v>0</v>
      </c>
    </row>
    <row r="931" spans="3:16" ht="13.5" thickBot="1">
      <c r="C931" s="790">
        <f>IF(D866="","-",+C930+1)</f>
        <v>2076</v>
      </c>
      <c r="D931" s="791">
        <f t="shared" si="88"/>
        <v>1098753.385416666</v>
      </c>
      <c r="E931" s="781">
        <f t="shared" si="86"/>
        <v>193897.65625</v>
      </c>
      <c r="F931" s="792">
        <f t="shared" si="80"/>
        <v>904855.729166666</v>
      </c>
      <c r="G931" s="791">
        <f t="shared" si="85"/>
        <v>1001804.557291666</v>
      </c>
      <c r="H931" s="793">
        <f>+J867*G931+E931</f>
        <v>305471.8814487712</v>
      </c>
      <c r="I931" s="793">
        <f>+J868*G931+E931</f>
        <v>305471.8814487712</v>
      </c>
      <c r="J931" s="794">
        <f t="shared" si="87"/>
        <v>0</v>
      </c>
      <c r="K931" s="784"/>
      <c r="L931" s="805"/>
      <c r="M931" s="794">
        <f t="shared" si="81"/>
        <v>0</v>
      </c>
      <c r="N931" s="805"/>
      <c r="O931" s="794">
        <f t="shared" si="82"/>
        <v>0</v>
      </c>
      <c r="P931" s="794">
        <f t="shared" si="83"/>
        <v>0</v>
      </c>
    </row>
    <row r="932" spans="3:15" ht="12.75">
      <c r="C932" s="728" t="s">
        <v>92</v>
      </c>
      <c r="D932" s="722"/>
      <c r="E932" s="722">
        <f>SUM(E872:E931)</f>
        <v>11504594.270833334</v>
      </c>
      <c r="F932" s="722"/>
      <c r="G932" s="722"/>
      <c r="H932" s="722">
        <f>SUM(H872:H931)</f>
        <v>56415019.49761619</v>
      </c>
      <c r="I932" s="722">
        <f>SUM(I872:I931)</f>
        <v>56415019.49761619</v>
      </c>
      <c r="J932" s="722">
        <f>SUM(J872:J931)</f>
        <v>0</v>
      </c>
      <c r="K932" s="722"/>
      <c r="L932" s="722"/>
      <c r="M932" s="722"/>
      <c r="N932" s="722"/>
      <c r="O932" s="722"/>
    </row>
    <row r="933" spans="4:15" ht="12.75">
      <c r="D933" s="532"/>
      <c r="E933" s="308"/>
      <c r="F933" s="308"/>
      <c r="G933" s="308"/>
      <c r="H933" s="308"/>
      <c r="I933" s="701"/>
      <c r="J933" s="701"/>
      <c r="K933" s="722"/>
      <c r="L933" s="701"/>
      <c r="M933" s="701"/>
      <c r="N933" s="701"/>
      <c r="O933" s="701"/>
    </row>
    <row r="934" spans="3:15" ht="12.75">
      <c r="C934" s="308" t="s">
        <v>14</v>
      </c>
      <c r="D934" s="532"/>
      <c r="E934" s="308"/>
      <c r="F934" s="308"/>
      <c r="G934" s="308"/>
      <c r="H934" s="308"/>
      <c r="I934" s="701"/>
      <c r="J934" s="701"/>
      <c r="K934" s="722"/>
      <c r="L934" s="701"/>
      <c r="M934" s="701"/>
      <c r="N934" s="701"/>
      <c r="O934" s="701"/>
    </row>
    <row r="935" spans="3:15" ht="12.75">
      <c r="C935" s="308"/>
      <c r="D935" s="532"/>
      <c r="E935" s="308"/>
      <c r="F935" s="308"/>
      <c r="G935" s="308"/>
      <c r="H935" s="308"/>
      <c r="I935" s="701"/>
      <c r="J935" s="701"/>
      <c r="K935" s="722"/>
      <c r="L935" s="701"/>
      <c r="M935" s="701"/>
      <c r="N935" s="701"/>
      <c r="O935" s="701"/>
    </row>
    <row r="936" spans="3:15" ht="12.75">
      <c r="C936" s="741" t="s">
        <v>15</v>
      </c>
      <c r="D936" s="728"/>
      <c r="E936" s="728"/>
      <c r="F936" s="728"/>
      <c r="G936" s="728"/>
      <c r="H936" s="722"/>
      <c r="I936" s="722"/>
      <c r="J936" s="796"/>
      <c r="K936" s="796"/>
      <c r="L936" s="796"/>
      <c r="M936" s="796"/>
      <c r="N936" s="796"/>
      <c r="O936" s="796"/>
    </row>
    <row r="937" spans="3:15" ht="12.75">
      <c r="C937" s="727" t="s">
        <v>272</v>
      </c>
      <c r="D937" s="728"/>
      <c r="E937" s="728"/>
      <c r="F937" s="728"/>
      <c r="G937" s="728"/>
      <c r="H937" s="722"/>
      <c r="I937" s="722"/>
      <c r="J937" s="796"/>
      <c r="K937" s="796"/>
      <c r="L937" s="796"/>
      <c r="M937" s="796"/>
      <c r="N937" s="796"/>
      <c r="O937" s="796"/>
    </row>
    <row r="938" spans="3:15" ht="12.75">
      <c r="C938" s="727" t="s">
        <v>93</v>
      </c>
      <c r="D938" s="728"/>
      <c r="E938" s="728"/>
      <c r="F938" s="728"/>
      <c r="G938" s="728"/>
      <c r="H938" s="722"/>
      <c r="I938" s="722"/>
      <c r="J938" s="796"/>
      <c r="K938" s="796"/>
      <c r="L938" s="796"/>
      <c r="M938" s="796"/>
      <c r="N938" s="796"/>
      <c r="O938" s="796"/>
    </row>
    <row r="939" spans="1:17" ht="20.25">
      <c r="A939" s="729" t="str">
        <f>""&amp;A864&amp;" Worksheet K -  ATRR TRUE-UP Calculation for PJM Projects Charged to Benefiting Zones"</f>
        <v> Worksheet K -  ATRR TRUE-UP Calculation for PJM Projects Charged to Benefiting Zones</v>
      </c>
      <c r="B939" s="341"/>
      <c r="C939" s="717"/>
      <c r="D939" s="532"/>
      <c r="E939" s="308"/>
      <c r="F939" s="700"/>
      <c r="G939" s="700"/>
      <c r="H939" s="308"/>
      <c r="I939" s="701"/>
      <c r="L939" s="557"/>
      <c r="M939" s="557"/>
      <c r="N939" s="557"/>
      <c r="O939" s="646" t="str">
        <f>"Page "&amp;SUM(Q$6:Q939)&amp;" of "</f>
        <v>Page 12 of </v>
      </c>
      <c r="P939" s="647">
        <f>COUNT(Q$6:Q$58387)</f>
        <v>12</v>
      </c>
      <c r="Q939" s="730">
        <v>1</v>
      </c>
    </row>
    <row r="940" spans="2:11" ht="12.75">
      <c r="B940" s="341"/>
      <c r="C940" s="308"/>
      <c r="D940" s="532"/>
      <c r="E940" s="308"/>
      <c r="F940" s="308"/>
      <c r="G940" s="308"/>
      <c r="H940" s="308"/>
      <c r="I940" s="701"/>
      <c r="J940" s="308"/>
      <c r="K940" s="420"/>
    </row>
    <row r="941" spans="2:17" ht="18">
      <c r="B941" s="650" t="s">
        <v>475</v>
      </c>
      <c r="C941" s="731" t="s">
        <v>94</v>
      </c>
      <c r="D941" s="532"/>
      <c r="E941" s="308"/>
      <c r="F941" s="308"/>
      <c r="G941" s="308"/>
      <c r="H941" s="308"/>
      <c r="I941" s="701"/>
      <c r="J941" s="701"/>
      <c r="K941" s="722"/>
      <c r="L941" s="701"/>
      <c r="M941" s="701"/>
      <c r="N941" s="701"/>
      <c r="O941" s="701"/>
      <c r="Q941" s="420"/>
    </row>
    <row r="942" spans="2:15" ht="18.75">
      <c r="B942" s="650"/>
      <c r="C942" s="649"/>
      <c r="D942" s="532"/>
      <c r="E942" s="308"/>
      <c r="F942" s="308"/>
      <c r="G942" s="308"/>
      <c r="H942" s="308"/>
      <c r="I942" s="701"/>
      <c r="J942" s="701"/>
      <c r="K942" s="722"/>
      <c r="L942" s="701"/>
      <c r="M942" s="701"/>
      <c r="N942" s="701"/>
      <c r="O942" s="701"/>
    </row>
    <row r="943" spans="2:15" ht="18.75">
      <c r="B943" s="650"/>
      <c r="C943" s="649" t="s">
        <v>95</v>
      </c>
      <c r="D943" s="532"/>
      <c r="E943" s="308"/>
      <c r="F943" s="308"/>
      <c r="G943" s="308"/>
      <c r="H943" s="308"/>
      <c r="I943" s="701"/>
      <c r="J943" s="701"/>
      <c r="K943" s="722"/>
      <c r="L943" s="701"/>
      <c r="M943" s="701"/>
      <c r="N943" s="701"/>
      <c r="O943" s="701"/>
    </row>
    <row r="944" spans="3:15" ht="15.75" thickBot="1">
      <c r="C944" s="236"/>
      <c r="D944" s="532"/>
      <c r="E944" s="308"/>
      <c r="F944" s="308"/>
      <c r="G944" s="308"/>
      <c r="H944" s="308"/>
      <c r="I944" s="701"/>
      <c r="J944" s="701"/>
      <c r="K944" s="722"/>
      <c r="L944" s="701"/>
      <c r="M944" s="701"/>
      <c r="N944" s="701"/>
      <c r="O944" s="701"/>
    </row>
    <row r="945" spans="3:15" ht="15.75">
      <c r="C945" s="652" t="s">
        <v>96</v>
      </c>
      <c r="D945" s="532"/>
      <c r="E945" s="308"/>
      <c r="F945" s="308"/>
      <c r="G945" s="308"/>
      <c r="H945" s="798"/>
      <c r="I945" s="308" t="s">
        <v>75</v>
      </c>
      <c r="J945" s="308"/>
      <c r="K945" s="420"/>
      <c r="L945" s="827">
        <f>+J951</f>
        <v>2017</v>
      </c>
      <c r="M945" s="808" t="s">
        <v>53</v>
      </c>
      <c r="N945" s="808" t="s">
        <v>54</v>
      </c>
      <c r="O945" s="809" t="s">
        <v>56</v>
      </c>
    </row>
    <row r="946" spans="3:15" ht="15.75">
      <c r="C946" s="652"/>
      <c r="D946" s="532"/>
      <c r="E946" s="308"/>
      <c r="F946" s="308"/>
      <c r="H946" s="308"/>
      <c r="I946" s="736"/>
      <c r="J946" s="736"/>
      <c r="K946" s="737"/>
      <c r="L946" s="828" t="s">
        <v>244</v>
      </c>
      <c r="M946" s="829">
        <f>VLOOKUP(J951,C958:P1017,10)</f>
        <v>1226646</v>
      </c>
      <c r="N946" s="829">
        <f>VLOOKUP(J951,C958:P1017,12)</f>
        <v>1226646</v>
      </c>
      <c r="O946" s="830">
        <f>+N946-M946</f>
        <v>0</v>
      </c>
    </row>
    <row r="947" spans="3:15" ht="12.75" customHeight="1">
      <c r="C947" s="741" t="s">
        <v>97</v>
      </c>
      <c r="D947" s="1472" t="s">
        <v>923</v>
      </c>
      <c r="E947" s="1472"/>
      <c r="F947" s="1472"/>
      <c r="G947" s="1472"/>
      <c r="H947" s="1472"/>
      <c r="I947" s="1472"/>
      <c r="J947" s="1472"/>
      <c r="K947" s="722"/>
      <c r="L947" s="828" t="s">
        <v>245</v>
      </c>
      <c r="M947" s="831">
        <f>VLOOKUP(J951,C958:P1017,6)</f>
        <v>2206434.2513587307</v>
      </c>
      <c r="N947" s="831">
        <f>VLOOKUP(J951,C958:P1017,7)</f>
        <v>2206434.2513587307</v>
      </c>
      <c r="O947" s="832">
        <f>+N947-M947</f>
        <v>0</v>
      </c>
    </row>
    <row r="948" spans="3:15" ht="13.5" thickBot="1">
      <c r="C948" s="745"/>
      <c r="D948" s="1472"/>
      <c r="E948" s="1472"/>
      <c r="F948" s="1472"/>
      <c r="G948" s="1472"/>
      <c r="H948" s="1472"/>
      <c r="I948" s="1472"/>
      <c r="J948" s="1472"/>
      <c r="K948" s="722"/>
      <c r="L948" s="764" t="s">
        <v>246</v>
      </c>
      <c r="M948" s="833">
        <f>+M947-M946</f>
        <v>979788.2513587307</v>
      </c>
      <c r="N948" s="833">
        <f>+N947-N946</f>
        <v>979788.2513587307</v>
      </c>
      <c r="O948" s="834">
        <f>+O947-O946</f>
        <v>0</v>
      </c>
    </row>
    <row r="949" spans="3:16" ht="13.5" thickBot="1">
      <c r="C949" s="748"/>
      <c r="D949" s="749"/>
      <c r="E949" s="747"/>
      <c r="F949" s="747"/>
      <c r="G949" s="747"/>
      <c r="H949" s="747"/>
      <c r="I949" s="747"/>
      <c r="J949" s="747"/>
      <c r="K949" s="750"/>
      <c r="L949" s="747"/>
      <c r="M949" s="747"/>
      <c r="N949" s="747"/>
      <c r="O949" s="747"/>
      <c r="P949" s="341"/>
    </row>
    <row r="950" spans="3:16" ht="13.5" thickBot="1">
      <c r="C950" s="751" t="s">
        <v>98</v>
      </c>
      <c r="D950" s="752"/>
      <c r="E950" s="752"/>
      <c r="F950" s="752"/>
      <c r="G950" s="752"/>
      <c r="H950" s="752"/>
      <c r="I950" s="752"/>
      <c r="J950" s="752"/>
      <c r="K950" s="754"/>
      <c r="P950" s="755"/>
    </row>
    <row r="951" spans="3:16" ht="15">
      <c r="C951" s="756" t="s">
        <v>76</v>
      </c>
      <c r="D951" s="1384">
        <v>19594840</v>
      </c>
      <c r="E951" s="717" t="s">
        <v>77</v>
      </c>
      <c r="H951" s="757"/>
      <c r="I951" s="757"/>
      <c r="J951" s="758">
        <v>2017</v>
      </c>
      <c r="K951" s="548"/>
      <c r="L951" s="1462" t="s">
        <v>78</v>
      </c>
      <c r="M951" s="1462"/>
      <c r="N951" s="1462"/>
      <c r="O951" s="1462"/>
      <c r="P951" s="420"/>
    </row>
    <row r="952" spans="3:16" ht="12.75">
      <c r="C952" s="756" t="s">
        <v>79</v>
      </c>
      <c r="D952" s="1385">
        <v>2017</v>
      </c>
      <c r="E952" s="756" t="s">
        <v>80</v>
      </c>
      <c r="F952" s="757"/>
      <c r="G952" s="757"/>
      <c r="I952" s="169"/>
      <c r="J952" s="802">
        <f>IF(H945="",0,$F$15)</f>
        <v>0</v>
      </c>
      <c r="K952" s="759"/>
      <c r="L952" s="722" t="s">
        <v>286</v>
      </c>
      <c r="P952" s="420"/>
    </row>
    <row r="953" spans="3:16" ht="12.75">
      <c r="C953" s="756" t="s">
        <v>81</v>
      </c>
      <c r="D953" s="1384">
        <v>11</v>
      </c>
      <c r="E953" s="756" t="s">
        <v>82</v>
      </c>
      <c r="F953" s="757"/>
      <c r="G953" s="757"/>
      <c r="I953" s="169"/>
      <c r="J953" s="760">
        <f>$F$68</f>
        <v>0.11137324579597359</v>
      </c>
      <c r="K953" s="761"/>
      <c r="L953" s="308" t="str">
        <f>"          INPUT TRUE-UP ARR (WITH &amp; WITHOUT INCENTIVES) FROM EACH PRIOR YEAR"</f>
        <v>          INPUT TRUE-UP ARR (WITH &amp; WITHOUT INCENTIVES) FROM EACH PRIOR YEAR</v>
      </c>
      <c r="P953" s="420"/>
    </row>
    <row r="954" spans="3:16" ht="12.75">
      <c r="C954" s="756" t="s">
        <v>83</v>
      </c>
      <c r="D954" s="762">
        <f>H$77</f>
        <v>64</v>
      </c>
      <c r="E954" s="756" t="s">
        <v>84</v>
      </c>
      <c r="F954" s="757"/>
      <c r="G954" s="757"/>
      <c r="I954" s="169"/>
      <c r="J954" s="760">
        <f>IF(H945="",+J953,$F$67)</f>
        <v>0.11137324579597359</v>
      </c>
      <c r="K954" s="763"/>
      <c r="L954" s="308" t="s">
        <v>166</v>
      </c>
      <c r="M954" s="763"/>
      <c r="N954" s="763"/>
      <c r="O954" s="763"/>
      <c r="P954" s="420"/>
    </row>
    <row r="955" spans="3:16" ht="13.5" thickBot="1">
      <c r="C955" s="756" t="s">
        <v>85</v>
      </c>
      <c r="D955" s="799" t="s">
        <v>877</v>
      </c>
      <c r="E955" s="764" t="s">
        <v>86</v>
      </c>
      <c r="F955" s="765"/>
      <c r="G955" s="765"/>
      <c r="H955" s="766"/>
      <c r="I955" s="766"/>
      <c r="J955" s="744">
        <f>IF(D951=0,0,D951/D954)</f>
        <v>306169.375</v>
      </c>
      <c r="K955" s="722"/>
      <c r="L955" s="722" t="s">
        <v>167</v>
      </c>
      <c r="M955" s="722"/>
      <c r="N955" s="722"/>
      <c r="O955" s="722"/>
      <c r="P955" s="420"/>
    </row>
    <row r="956" spans="2:16" ht="38.25">
      <c r="B956" s="837"/>
      <c r="C956" s="767" t="s">
        <v>76</v>
      </c>
      <c r="D956" s="768" t="s">
        <v>87</v>
      </c>
      <c r="E956" s="769" t="s">
        <v>88</v>
      </c>
      <c r="F956" s="768" t="s">
        <v>89</v>
      </c>
      <c r="G956" s="768" t="s">
        <v>247</v>
      </c>
      <c r="H956" s="769" t="s">
        <v>160</v>
      </c>
      <c r="I956" s="770" t="s">
        <v>160</v>
      </c>
      <c r="J956" s="767" t="s">
        <v>99</v>
      </c>
      <c r="K956" s="771"/>
      <c r="L956" s="769" t="s">
        <v>162</v>
      </c>
      <c r="M956" s="769" t="s">
        <v>168</v>
      </c>
      <c r="N956" s="769" t="s">
        <v>162</v>
      </c>
      <c r="O956" s="769" t="s">
        <v>170</v>
      </c>
      <c r="P956" s="769" t="s">
        <v>90</v>
      </c>
    </row>
    <row r="957" spans="3:16" ht="13.5" thickBot="1">
      <c r="C957" s="773" t="s">
        <v>478</v>
      </c>
      <c r="D957" s="774" t="s">
        <v>479</v>
      </c>
      <c r="E957" s="773" t="s">
        <v>372</v>
      </c>
      <c r="F957" s="774" t="s">
        <v>479</v>
      </c>
      <c r="G957" s="774" t="s">
        <v>479</v>
      </c>
      <c r="H957" s="775" t="s">
        <v>102</v>
      </c>
      <c r="I957" s="776" t="s">
        <v>104</v>
      </c>
      <c r="J957" s="777" t="s">
        <v>16</v>
      </c>
      <c r="K957" s="778"/>
      <c r="L957" s="775" t="s">
        <v>91</v>
      </c>
      <c r="M957" s="775" t="s">
        <v>91</v>
      </c>
      <c r="N957" s="775" t="s">
        <v>264</v>
      </c>
      <c r="O957" s="775" t="s">
        <v>264</v>
      </c>
      <c r="P957" s="775" t="s">
        <v>264</v>
      </c>
    </row>
    <row r="958" spans="3:16" ht="12.75">
      <c r="C958" s="1386">
        <f>IF(D952="","-",D952)</f>
        <v>2017</v>
      </c>
      <c r="D958" s="728">
        <f>+D951</f>
        <v>19594840</v>
      </c>
      <c r="E958" s="786">
        <f>+J955/12*(12-D953)</f>
        <v>25514.114583333332</v>
      </c>
      <c r="F958" s="835">
        <f aca="true" t="shared" si="89" ref="F958:F1017">+D958-E958</f>
        <v>19569325.885416668</v>
      </c>
      <c r="G958" s="728">
        <f>+(D958+F958)/2</f>
        <v>19582082.942708336</v>
      </c>
      <c r="H958" s="782">
        <f>+J953*G958+E958</f>
        <v>2206434.2513587307</v>
      </c>
      <c r="I958" s="783">
        <f>+J954*G958+E958</f>
        <v>2206434.2513587307</v>
      </c>
      <c r="J958" s="784">
        <f>+I958-H958</f>
        <v>0</v>
      </c>
      <c r="K958" s="784"/>
      <c r="L958" s="803">
        <v>1226646</v>
      </c>
      <c r="M958" s="836">
        <f aca="true" t="shared" si="90" ref="M958:M1017">IF(L958&lt;&gt;0,+H958-L958,0)</f>
        <v>979788.2513587307</v>
      </c>
      <c r="N958" s="803">
        <v>1226646</v>
      </c>
      <c r="O958" s="836">
        <f aca="true" t="shared" si="91" ref="O958:O1017">IF(N958&lt;&gt;0,+I958-N958,0)</f>
        <v>979788.2513587307</v>
      </c>
      <c r="P958" s="836">
        <f aca="true" t="shared" si="92" ref="P958:P1017">+O958-M958</f>
        <v>0</v>
      </c>
    </row>
    <row r="959" spans="3:16" ht="12.75">
      <c r="C959" s="1308">
        <f>IF(D952="","-",+C958+1)</f>
        <v>2018</v>
      </c>
      <c r="D959" s="728">
        <f aca="true" t="shared" si="93" ref="D959:D1017">F958</f>
        <v>19569325.885416668</v>
      </c>
      <c r="E959" s="781">
        <f>IF(D959&gt;$J$955,$J$955,D959)</f>
        <v>306169.375</v>
      </c>
      <c r="F959" s="781">
        <f t="shared" si="89"/>
        <v>19263156.510416668</v>
      </c>
      <c r="G959" s="728">
        <f aca="true" t="shared" si="94" ref="G959:G1017">+(D959+F959)/2</f>
        <v>19416241.197916668</v>
      </c>
      <c r="H959" s="786">
        <f>+J953*G959+E959</f>
        <v>2468619.1783694816</v>
      </c>
      <c r="I959" s="787">
        <f>+J954*G959+E959</f>
        <v>2468619.1783694816</v>
      </c>
      <c r="J959" s="784">
        <f>+I959-H959</f>
        <v>0</v>
      </c>
      <c r="K959" s="784"/>
      <c r="L959" s="804"/>
      <c r="M959" s="784">
        <f t="shared" si="90"/>
        <v>0</v>
      </c>
      <c r="N959" s="804"/>
      <c r="O959" s="784">
        <f t="shared" si="91"/>
        <v>0</v>
      </c>
      <c r="P959" s="784">
        <f t="shared" si="92"/>
        <v>0</v>
      </c>
    </row>
    <row r="960" spans="3:16" ht="12.75">
      <c r="C960" s="780">
        <f>IF(D952="","-",+C959+1)</f>
        <v>2019</v>
      </c>
      <c r="D960" s="728">
        <f t="shared" si="93"/>
        <v>19263156.510416668</v>
      </c>
      <c r="E960" s="781">
        <f aca="true" t="shared" si="95" ref="E960:E1017">IF(D960&gt;$J$955,$J$955,D960)</f>
        <v>306169.375</v>
      </c>
      <c r="F960" s="781">
        <f t="shared" si="89"/>
        <v>18956987.135416668</v>
      </c>
      <c r="G960" s="728">
        <f t="shared" si="94"/>
        <v>19110071.822916668</v>
      </c>
      <c r="H960" s="786">
        <f>+J953*G960+E960</f>
        <v>2434520.1013124073</v>
      </c>
      <c r="I960" s="787">
        <f>+J954*G960+E960</f>
        <v>2434520.1013124073</v>
      </c>
      <c r="J960" s="784">
        <f aca="true" t="shared" si="96" ref="J960:J1017">+I960-H960</f>
        <v>0</v>
      </c>
      <c r="K960" s="784"/>
      <c r="L960" s="804"/>
      <c r="M960" s="784">
        <f t="shared" si="90"/>
        <v>0</v>
      </c>
      <c r="N960" s="804"/>
      <c r="O960" s="784">
        <f t="shared" si="91"/>
        <v>0</v>
      </c>
      <c r="P960" s="784">
        <f t="shared" si="92"/>
        <v>0</v>
      </c>
    </row>
    <row r="961" spans="3:16" ht="12.75">
      <c r="C961" s="1308">
        <f>IF(D952="","-",+C960+1)</f>
        <v>2020</v>
      </c>
      <c r="D961" s="728">
        <f t="shared" si="93"/>
        <v>18956987.135416668</v>
      </c>
      <c r="E961" s="781">
        <f t="shared" si="95"/>
        <v>306169.375</v>
      </c>
      <c r="F961" s="781">
        <f t="shared" si="89"/>
        <v>18650817.760416668</v>
      </c>
      <c r="G961" s="728">
        <f t="shared" si="94"/>
        <v>18803902.447916668</v>
      </c>
      <c r="H961" s="786">
        <f>+J953*G961+E961</f>
        <v>2400421.0242553325</v>
      </c>
      <c r="I961" s="787">
        <f>+J954*G961+E961</f>
        <v>2400421.0242553325</v>
      </c>
      <c r="J961" s="784">
        <f t="shared" si="96"/>
        <v>0</v>
      </c>
      <c r="K961" s="784"/>
      <c r="L961" s="804"/>
      <c r="M961" s="784">
        <f t="shared" si="90"/>
        <v>0</v>
      </c>
      <c r="N961" s="804"/>
      <c r="O961" s="784">
        <f t="shared" si="91"/>
        <v>0</v>
      </c>
      <c r="P961" s="784">
        <f t="shared" si="92"/>
        <v>0</v>
      </c>
    </row>
    <row r="962" spans="3:16" ht="12.75">
      <c r="C962" s="1308">
        <f>IF(D952="","-",+C961+1)</f>
        <v>2021</v>
      </c>
      <c r="D962" s="728">
        <f t="shared" si="93"/>
        <v>18650817.760416668</v>
      </c>
      <c r="E962" s="781">
        <f t="shared" si="95"/>
        <v>306169.375</v>
      </c>
      <c r="F962" s="781">
        <f t="shared" si="89"/>
        <v>18344648.385416668</v>
      </c>
      <c r="G962" s="728">
        <f t="shared" si="94"/>
        <v>18497733.072916668</v>
      </c>
      <c r="H962" s="786">
        <f>+J953*G962+E962</f>
        <v>2366321.947198258</v>
      </c>
      <c r="I962" s="787">
        <f>+J954*G962+E962</f>
        <v>2366321.947198258</v>
      </c>
      <c r="J962" s="784">
        <f t="shared" si="96"/>
        <v>0</v>
      </c>
      <c r="K962" s="784"/>
      <c r="L962" s="804"/>
      <c r="M962" s="784">
        <f t="shared" si="90"/>
        <v>0</v>
      </c>
      <c r="N962" s="804"/>
      <c r="O962" s="784">
        <f t="shared" si="91"/>
        <v>0</v>
      </c>
      <c r="P962" s="784">
        <f t="shared" si="92"/>
        <v>0</v>
      </c>
    </row>
    <row r="963" spans="3:16" ht="12.75">
      <c r="C963" s="780">
        <f>IF(D952="","-",+C962+1)</f>
        <v>2022</v>
      </c>
      <c r="D963" s="728">
        <f t="shared" si="93"/>
        <v>18344648.385416668</v>
      </c>
      <c r="E963" s="781">
        <f t="shared" si="95"/>
        <v>306169.375</v>
      </c>
      <c r="F963" s="781">
        <f t="shared" si="89"/>
        <v>18038479.010416668</v>
      </c>
      <c r="G963" s="728">
        <f t="shared" si="94"/>
        <v>18191563.697916668</v>
      </c>
      <c r="H963" s="786">
        <f>+J953*G963+E963</f>
        <v>2332222.870141183</v>
      </c>
      <c r="I963" s="787">
        <f>+J954*G963+E963</f>
        <v>2332222.870141183</v>
      </c>
      <c r="J963" s="784">
        <f t="shared" si="96"/>
        <v>0</v>
      </c>
      <c r="K963" s="784"/>
      <c r="L963" s="804"/>
      <c r="M963" s="784">
        <f t="shared" si="90"/>
        <v>0</v>
      </c>
      <c r="N963" s="804"/>
      <c r="O963" s="784">
        <f t="shared" si="91"/>
        <v>0</v>
      </c>
      <c r="P963" s="784">
        <f t="shared" si="92"/>
        <v>0</v>
      </c>
    </row>
    <row r="964" spans="3:16" ht="12.75">
      <c r="C964" s="780">
        <f>IF(D952="","-",+C963+1)</f>
        <v>2023</v>
      </c>
      <c r="D964" s="728">
        <f t="shared" si="93"/>
        <v>18038479.010416668</v>
      </c>
      <c r="E964" s="781">
        <f t="shared" si="95"/>
        <v>306169.375</v>
      </c>
      <c r="F964" s="781">
        <f t="shared" si="89"/>
        <v>17732309.635416668</v>
      </c>
      <c r="G964" s="728">
        <f t="shared" si="94"/>
        <v>17885394.322916668</v>
      </c>
      <c r="H964" s="786">
        <f>+J953*G964+E964</f>
        <v>2298123.7930841087</v>
      </c>
      <c r="I964" s="787">
        <f>+J954*G964+E964</f>
        <v>2298123.7930841087</v>
      </c>
      <c r="J964" s="784">
        <f t="shared" si="96"/>
        <v>0</v>
      </c>
      <c r="K964" s="784"/>
      <c r="L964" s="804"/>
      <c r="M964" s="784">
        <f t="shared" si="90"/>
        <v>0</v>
      </c>
      <c r="N964" s="804"/>
      <c r="O964" s="784">
        <f t="shared" si="91"/>
        <v>0</v>
      </c>
      <c r="P964" s="784">
        <f t="shared" si="92"/>
        <v>0</v>
      </c>
    </row>
    <row r="965" spans="3:16" ht="12.75">
      <c r="C965" s="780">
        <f>IF(D952="","-",+C964+1)</f>
        <v>2024</v>
      </c>
      <c r="D965" s="728">
        <f t="shared" si="93"/>
        <v>17732309.635416668</v>
      </c>
      <c r="E965" s="781">
        <f t="shared" si="95"/>
        <v>306169.375</v>
      </c>
      <c r="F965" s="781">
        <f t="shared" si="89"/>
        <v>17426140.260416668</v>
      </c>
      <c r="G965" s="728">
        <f t="shared" si="94"/>
        <v>17579224.947916668</v>
      </c>
      <c r="H965" s="786">
        <f>+J953*G965+E965</f>
        <v>2264024.716027034</v>
      </c>
      <c r="I965" s="787">
        <f>+J954*G965+E965</f>
        <v>2264024.716027034</v>
      </c>
      <c r="J965" s="784">
        <f t="shared" si="96"/>
        <v>0</v>
      </c>
      <c r="K965" s="784"/>
      <c r="L965" s="804"/>
      <c r="M965" s="784">
        <f t="shared" si="90"/>
        <v>0</v>
      </c>
      <c r="N965" s="804"/>
      <c r="O965" s="784">
        <f t="shared" si="91"/>
        <v>0</v>
      </c>
      <c r="P965" s="784">
        <f t="shared" si="92"/>
        <v>0</v>
      </c>
    </row>
    <row r="966" spans="3:16" ht="12.75">
      <c r="C966" s="780">
        <f>IF(D952="","-",+C965+1)</f>
        <v>2025</v>
      </c>
      <c r="D966" s="728">
        <f t="shared" si="93"/>
        <v>17426140.260416668</v>
      </c>
      <c r="E966" s="781">
        <f t="shared" si="95"/>
        <v>306169.375</v>
      </c>
      <c r="F966" s="781">
        <f t="shared" si="89"/>
        <v>17119970.885416668</v>
      </c>
      <c r="G966" s="728">
        <f t="shared" si="94"/>
        <v>17273055.572916668</v>
      </c>
      <c r="H966" s="786">
        <f>+J953*G966+E966</f>
        <v>2229925.6389699597</v>
      </c>
      <c r="I966" s="787">
        <f>+J954*G966+E966</f>
        <v>2229925.6389699597</v>
      </c>
      <c r="J966" s="784">
        <f t="shared" si="96"/>
        <v>0</v>
      </c>
      <c r="K966" s="784"/>
      <c r="L966" s="804"/>
      <c r="M966" s="784">
        <f t="shared" si="90"/>
        <v>0</v>
      </c>
      <c r="N966" s="804"/>
      <c r="O966" s="784">
        <f t="shared" si="91"/>
        <v>0</v>
      </c>
      <c r="P966" s="784">
        <f t="shared" si="92"/>
        <v>0</v>
      </c>
    </row>
    <row r="967" spans="3:16" ht="12.75">
      <c r="C967" s="780">
        <f>IF(D952="","-",+C966+1)</f>
        <v>2026</v>
      </c>
      <c r="D967" s="728">
        <f t="shared" si="93"/>
        <v>17119970.885416668</v>
      </c>
      <c r="E967" s="781">
        <f t="shared" si="95"/>
        <v>306169.375</v>
      </c>
      <c r="F967" s="781">
        <f t="shared" si="89"/>
        <v>16813801.510416668</v>
      </c>
      <c r="G967" s="728">
        <f t="shared" si="94"/>
        <v>16966886.197916668</v>
      </c>
      <c r="H967" s="786">
        <f>+J953*G967+E967</f>
        <v>2195826.561912885</v>
      </c>
      <c r="I967" s="787">
        <f>+J954*G967+E967</f>
        <v>2195826.561912885</v>
      </c>
      <c r="J967" s="784">
        <f t="shared" si="96"/>
        <v>0</v>
      </c>
      <c r="K967" s="784"/>
      <c r="L967" s="804"/>
      <c r="M967" s="784">
        <f t="shared" si="90"/>
        <v>0</v>
      </c>
      <c r="N967" s="804"/>
      <c r="O967" s="784">
        <f t="shared" si="91"/>
        <v>0</v>
      </c>
      <c r="P967" s="784">
        <f t="shared" si="92"/>
        <v>0</v>
      </c>
    </row>
    <row r="968" spans="3:16" ht="12.75">
      <c r="C968" s="780">
        <f>IF(D952="","-",+C967+1)</f>
        <v>2027</v>
      </c>
      <c r="D968" s="728">
        <f t="shared" si="93"/>
        <v>16813801.510416668</v>
      </c>
      <c r="E968" s="781">
        <f t="shared" si="95"/>
        <v>306169.375</v>
      </c>
      <c r="F968" s="781">
        <f t="shared" si="89"/>
        <v>16507632.135416668</v>
      </c>
      <c r="G968" s="728">
        <f t="shared" si="94"/>
        <v>16660716.822916668</v>
      </c>
      <c r="H968" s="786">
        <f>+J953*G968+E968</f>
        <v>2161727.48485581</v>
      </c>
      <c r="I968" s="787">
        <f>+J954*G968+E968</f>
        <v>2161727.48485581</v>
      </c>
      <c r="J968" s="784">
        <f t="shared" si="96"/>
        <v>0</v>
      </c>
      <c r="K968" s="784"/>
      <c r="L968" s="804"/>
      <c r="M968" s="784">
        <f t="shared" si="90"/>
        <v>0</v>
      </c>
      <c r="N968" s="804"/>
      <c r="O968" s="784">
        <f t="shared" si="91"/>
        <v>0</v>
      </c>
      <c r="P968" s="784">
        <f t="shared" si="92"/>
        <v>0</v>
      </c>
    </row>
    <row r="969" spans="3:16" ht="12.75">
      <c r="C969" s="780">
        <f>IF(D952="","-",+C968+1)</f>
        <v>2028</v>
      </c>
      <c r="D969" s="728">
        <f t="shared" si="93"/>
        <v>16507632.135416668</v>
      </c>
      <c r="E969" s="781">
        <f t="shared" si="95"/>
        <v>306169.375</v>
      </c>
      <c r="F969" s="781">
        <f t="shared" si="89"/>
        <v>16201462.760416668</v>
      </c>
      <c r="G969" s="728">
        <f t="shared" si="94"/>
        <v>16354547.447916668</v>
      </c>
      <c r="H969" s="786">
        <f>+J953*G969+E969</f>
        <v>2127628.4077987354</v>
      </c>
      <c r="I969" s="787">
        <f>+J954*G969+E969</f>
        <v>2127628.4077987354</v>
      </c>
      <c r="J969" s="784">
        <f t="shared" si="96"/>
        <v>0</v>
      </c>
      <c r="K969" s="784"/>
      <c r="L969" s="804"/>
      <c r="M969" s="784">
        <f t="shared" si="90"/>
        <v>0</v>
      </c>
      <c r="N969" s="804"/>
      <c r="O969" s="784">
        <f t="shared" si="91"/>
        <v>0</v>
      </c>
      <c r="P969" s="784">
        <f t="shared" si="92"/>
        <v>0</v>
      </c>
    </row>
    <row r="970" spans="3:16" ht="12.75">
      <c r="C970" s="780">
        <f>IF(D952="","-",+C969+1)</f>
        <v>2029</v>
      </c>
      <c r="D970" s="728">
        <f t="shared" si="93"/>
        <v>16201462.760416668</v>
      </c>
      <c r="E970" s="781">
        <f t="shared" si="95"/>
        <v>306169.375</v>
      </c>
      <c r="F970" s="781">
        <f t="shared" si="89"/>
        <v>15895293.385416668</v>
      </c>
      <c r="G970" s="728">
        <f t="shared" si="94"/>
        <v>16048378.072916668</v>
      </c>
      <c r="H970" s="786">
        <f>+J953*G970+E970</f>
        <v>2093529.330741661</v>
      </c>
      <c r="I970" s="787">
        <f>+J954*G970+E970</f>
        <v>2093529.330741661</v>
      </c>
      <c r="J970" s="784">
        <f t="shared" si="96"/>
        <v>0</v>
      </c>
      <c r="K970" s="784"/>
      <c r="L970" s="804"/>
      <c r="M970" s="784">
        <f t="shared" si="90"/>
        <v>0</v>
      </c>
      <c r="N970" s="804"/>
      <c r="O970" s="784">
        <f t="shared" si="91"/>
        <v>0</v>
      </c>
      <c r="P970" s="784">
        <f t="shared" si="92"/>
        <v>0</v>
      </c>
    </row>
    <row r="971" spans="3:16" ht="12.75">
      <c r="C971" s="780">
        <f>IF(D952="","-",+C970+1)</f>
        <v>2030</v>
      </c>
      <c r="D971" s="728">
        <f t="shared" si="93"/>
        <v>15895293.385416668</v>
      </c>
      <c r="E971" s="781">
        <f t="shared" si="95"/>
        <v>306169.375</v>
      </c>
      <c r="F971" s="781">
        <f t="shared" si="89"/>
        <v>15589124.010416668</v>
      </c>
      <c r="G971" s="728">
        <f t="shared" si="94"/>
        <v>15742208.697916668</v>
      </c>
      <c r="H971" s="786">
        <f>+J953*G971+E971</f>
        <v>2059430.2536845864</v>
      </c>
      <c r="I971" s="787">
        <f>+J954*G971+E971</f>
        <v>2059430.2536845864</v>
      </c>
      <c r="J971" s="784">
        <f t="shared" si="96"/>
        <v>0</v>
      </c>
      <c r="K971" s="784"/>
      <c r="L971" s="804"/>
      <c r="M971" s="784">
        <f t="shared" si="90"/>
        <v>0</v>
      </c>
      <c r="N971" s="804"/>
      <c r="O971" s="784">
        <f t="shared" si="91"/>
        <v>0</v>
      </c>
      <c r="P971" s="784">
        <f t="shared" si="92"/>
        <v>0</v>
      </c>
    </row>
    <row r="972" spans="3:16" ht="12.75">
      <c r="C972" s="780">
        <f>IF(D952="","-",+C971+1)</f>
        <v>2031</v>
      </c>
      <c r="D972" s="728">
        <f t="shared" si="93"/>
        <v>15589124.010416668</v>
      </c>
      <c r="E972" s="781">
        <f t="shared" si="95"/>
        <v>306169.375</v>
      </c>
      <c r="F972" s="781">
        <f t="shared" si="89"/>
        <v>15282954.635416668</v>
      </c>
      <c r="G972" s="728">
        <f t="shared" si="94"/>
        <v>15436039.322916668</v>
      </c>
      <c r="H972" s="786">
        <f>+J953*G972+E972</f>
        <v>2025331.1766275119</v>
      </c>
      <c r="I972" s="787">
        <f>+J954*G972+E972</f>
        <v>2025331.1766275119</v>
      </c>
      <c r="J972" s="784">
        <f t="shared" si="96"/>
        <v>0</v>
      </c>
      <c r="K972" s="784"/>
      <c r="L972" s="804"/>
      <c r="M972" s="784">
        <f t="shared" si="90"/>
        <v>0</v>
      </c>
      <c r="N972" s="804"/>
      <c r="O972" s="784">
        <f t="shared" si="91"/>
        <v>0</v>
      </c>
      <c r="P972" s="784">
        <f t="shared" si="92"/>
        <v>0</v>
      </c>
    </row>
    <row r="973" spans="3:16" ht="12.75">
      <c r="C973" s="780">
        <f>IF(D952="","-",+C972+1)</f>
        <v>2032</v>
      </c>
      <c r="D973" s="728">
        <f t="shared" si="93"/>
        <v>15282954.635416668</v>
      </c>
      <c r="E973" s="781">
        <f t="shared" si="95"/>
        <v>306169.375</v>
      </c>
      <c r="F973" s="781">
        <f t="shared" si="89"/>
        <v>14976785.260416668</v>
      </c>
      <c r="G973" s="728">
        <f t="shared" si="94"/>
        <v>15129869.947916668</v>
      </c>
      <c r="H973" s="786">
        <f>+J953*G973+E973</f>
        <v>1991232.099570437</v>
      </c>
      <c r="I973" s="787">
        <f>+J954*G973+E973</f>
        <v>1991232.099570437</v>
      </c>
      <c r="J973" s="784">
        <f t="shared" si="96"/>
        <v>0</v>
      </c>
      <c r="K973" s="784"/>
      <c r="L973" s="804"/>
      <c r="M973" s="784">
        <f t="shared" si="90"/>
        <v>0</v>
      </c>
      <c r="N973" s="804"/>
      <c r="O973" s="784">
        <f t="shared" si="91"/>
        <v>0</v>
      </c>
      <c r="P973" s="784">
        <f t="shared" si="92"/>
        <v>0</v>
      </c>
    </row>
    <row r="974" spans="3:16" ht="12.75">
      <c r="C974" s="780">
        <f>IF(D952="","-",+C973+1)</f>
        <v>2033</v>
      </c>
      <c r="D974" s="728">
        <f t="shared" si="93"/>
        <v>14976785.260416668</v>
      </c>
      <c r="E974" s="781">
        <f t="shared" si="95"/>
        <v>306169.375</v>
      </c>
      <c r="F974" s="781">
        <f t="shared" si="89"/>
        <v>14670615.885416668</v>
      </c>
      <c r="G974" s="728">
        <f t="shared" si="94"/>
        <v>14823700.572916668</v>
      </c>
      <c r="H974" s="786">
        <f>+J953*G974+E974</f>
        <v>1957133.0225133626</v>
      </c>
      <c r="I974" s="787">
        <f>+J954*G974+E974</f>
        <v>1957133.0225133626</v>
      </c>
      <c r="J974" s="784">
        <f t="shared" si="96"/>
        <v>0</v>
      </c>
      <c r="K974" s="784"/>
      <c r="L974" s="804"/>
      <c r="M974" s="784">
        <f t="shared" si="90"/>
        <v>0</v>
      </c>
      <c r="N974" s="804"/>
      <c r="O974" s="784">
        <f t="shared" si="91"/>
        <v>0</v>
      </c>
      <c r="P974" s="784">
        <f t="shared" si="92"/>
        <v>0</v>
      </c>
    </row>
    <row r="975" spans="3:16" ht="12.75">
      <c r="C975" s="780">
        <f>IF(D952="","-",+C974+1)</f>
        <v>2034</v>
      </c>
      <c r="D975" s="728">
        <f t="shared" si="93"/>
        <v>14670615.885416668</v>
      </c>
      <c r="E975" s="781">
        <f t="shared" si="95"/>
        <v>306169.375</v>
      </c>
      <c r="F975" s="781">
        <f t="shared" si="89"/>
        <v>14364446.510416668</v>
      </c>
      <c r="G975" s="728">
        <f t="shared" si="94"/>
        <v>14517531.197916668</v>
      </c>
      <c r="H975" s="786">
        <f>+J953*G975+E975</f>
        <v>1923033.945456288</v>
      </c>
      <c r="I975" s="787">
        <f>+J954*G975+E975</f>
        <v>1923033.945456288</v>
      </c>
      <c r="J975" s="784">
        <f t="shared" si="96"/>
        <v>0</v>
      </c>
      <c r="K975" s="784"/>
      <c r="L975" s="804"/>
      <c r="M975" s="784">
        <f t="shared" si="90"/>
        <v>0</v>
      </c>
      <c r="N975" s="804"/>
      <c r="O975" s="784">
        <f t="shared" si="91"/>
        <v>0</v>
      </c>
      <c r="P975" s="784">
        <f t="shared" si="92"/>
        <v>0</v>
      </c>
    </row>
    <row r="976" spans="3:16" ht="12.75">
      <c r="C976" s="780">
        <f>IF(D952="","-",+C975+1)</f>
        <v>2035</v>
      </c>
      <c r="D976" s="728">
        <f t="shared" si="93"/>
        <v>14364446.510416668</v>
      </c>
      <c r="E976" s="781">
        <f t="shared" si="95"/>
        <v>306169.375</v>
      </c>
      <c r="F976" s="781">
        <f t="shared" si="89"/>
        <v>14058277.135416668</v>
      </c>
      <c r="G976" s="728">
        <f t="shared" si="94"/>
        <v>14211361.822916668</v>
      </c>
      <c r="H976" s="786">
        <f>+J953*G976+E976</f>
        <v>1888934.8683992133</v>
      </c>
      <c r="I976" s="787">
        <f>+J954*G976+E976</f>
        <v>1888934.8683992133</v>
      </c>
      <c r="J976" s="784">
        <f t="shared" si="96"/>
        <v>0</v>
      </c>
      <c r="K976" s="784"/>
      <c r="L976" s="804"/>
      <c r="M976" s="784">
        <f t="shared" si="90"/>
        <v>0</v>
      </c>
      <c r="N976" s="804"/>
      <c r="O976" s="784">
        <f t="shared" si="91"/>
        <v>0</v>
      </c>
      <c r="P976" s="784">
        <f t="shared" si="92"/>
        <v>0</v>
      </c>
    </row>
    <row r="977" spans="3:16" ht="12.75">
      <c r="C977" s="780">
        <f>IF(D952="","-",+C976+1)</f>
        <v>2036</v>
      </c>
      <c r="D977" s="728">
        <f t="shared" si="93"/>
        <v>14058277.135416668</v>
      </c>
      <c r="E977" s="781">
        <f t="shared" si="95"/>
        <v>306169.375</v>
      </c>
      <c r="F977" s="781">
        <f t="shared" si="89"/>
        <v>13752107.760416668</v>
      </c>
      <c r="G977" s="728">
        <f t="shared" si="94"/>
        <v>13905192.447916668</v>
      </c>
      <c r="H977" s="786">
        <f>+J953*G977+E977</f>
        <v>1854835.7913421388</v>
      </c>
      <c r="I977" s="787">
        <f>+J954*G977+E977</f>
        <v>1854835.7913421388</v>
      </c>
      <c r="J977" s="784">
        <f t="shared" si="96"/>
        <v>0</v>
      </c>
      <c r="K977" s="784"/>
      <c r="L977" s="804"/>
      <c r="M977" s="784">
        <f t="shared" si="90"/>
        <v>0</v>
      </c>
      <c r="N977" s="804"/>
      <c r="O977" s="784">
        <f t="shared" si="91"/>
        <v>0</v>
      </c>
      <c r="P977" s="784">
        <f t="shared" si="92"/>
        <v>0</v>
      </c>
    </row>
    <row r="978" spans="3:16" ht="12.75">
      <c r="C978" s="780">
        <f>IF(D952="","-",+C977+1)</f>
        <v>2037</v>
      </c>
      <c r="D978" s="728">
        <f t="shared" si="93"/>
        <v>13752107.760416668</v>
      </c>
      <c r="E978" s="781">
        <f t="shared" si="95"/>
        <v>306169.375</v>
      </c>
      <c r="F978" s="781">
        <f t="shared" si="89"/>
        <v>13445938.385416668</v>
      </c>
      <c r="G978" s="728">
        <f t="shared" si="94"/>
        <v>13599023.072916668</v>
      </c>
      <c r="H978" s="786">
        <f>+J953*G978+E978</f>
        <v>1820736.714285064</v>
      </c>
      <c r="I978" s="787">
        <f>+J954*G978+E978</f>
        <v>1820736.714285064</v>
      </c>
      <c r="J978" s="784">
        <f t="shared" si="96"/>
        <v>0</v>
      </c>
      <c r="K978" s="784"/>
      <c r="L978" s="804"/>
      <c r="M978" s="784">
        <f t="shared" si="90"/>
        <v>0</v>
      </c>
      <c r="N978" s="804"/>
      <c r="O978" s="784">
        <f t="shared" si="91"/>
        <v>0</v>
      </c>
      <c r="P978" s="784">
        <f t="shared" si="92"/>
        <v>0</v>
      </c>
    </row>
    <row r="979" spans="3:16" ht="12.75">
      <c r="C979" s="780">
        <f>IF(D952="","-",+C978+1)</f>
        <v>2038</v>
      </c>
      <c r="D979" s="728">
        <f t="shared" si="93"/>
        <v>13445938.385416668</v>
      </c>
      <c r="E979" s="781">
        <f t="shared" si="95"/>
        <v>306169.375</v>
      </c>
      <c r="F979" s="781">
        <f t="shared" si="89"/>
        <v>13139769.010416668</v>
      </c>
      <c r="G979" s="728">
        <f t="shared" si="94"/>
        <v>13292853.697916668</v>
      </c>
      <c r="H979" s="786">
        <f>+J953*G979+E979</f>
        <v>1786637.6372279895</v>
      </c>
      <c r="I979" s="787">
        <f>+J954*G979+E979</f>
        <v>1786637.6372279895</v>
      </c>
      <c r="J979" s="784">
        <f t="shared" si="96"/>
        <v>0</v>
      </c>
      <c r="K979" s="784"/>
      <c r="L979" s="804"/>
      <c r="M979" s="784">
        <f t="shared" si="90"/>
        <v>0</v>
      </c>
      <c r="N979" s="804"/>
      <c r="O979" s="784">
        <f t="shared" si="91"/>
        <v>0</v>
      </c>
      <c r="P979" s="784">
        <f t="shared" si="92"/>
        <v>0</v>
      </c>
    </row>
    <row r="980" spans="3:16" ht="12.75">
      <c r="C980" s="780">
        <f>IF(D952="","-",+C979+1)</f>
        <v>2039</v>
      </c>
      <c r="D980" s="728">
        <f t="shared" si="93"/>
        <v>13139769.010416668</v>
      </c>
      <c r="E980" s="781">
        <f t="shared" si="95"/>
        <v>306169.375</v>
      </c>
      <c r="F980" s="781">
        <f t="shared" si="89"/>
        <v>12833599.635416668</v>
      </c>
      <c r="G980" s="728">
        <f t="shared" si="94"/>
        <v>12986684.322916668</v>
      </c>
      <c r="H980" s="786">
        <f>+J953*G980+E980</f>
        <v>1752538.560170915</v>
      </c>
      <c r="I980" s="787">
        <f>+J954*G980+E980</f>
        <v>1752538.560170915</v>
      </c>
      <c r="J980" s="784">
        <f t="shared" si="96"/>
        <v>0</v>
      </c>
      <c r="K980" s="784"/>
      <c r="L980" s="804"/>
      <c r="M980" s="784">
        <f t="shared" si="90"/>
        <v>0</v>
      </c>
      <c r="N980" s="804"/>
      <c r="O980" s="784">
        <f t="shared" si="91"/>
        <v>0</v>
      </c>
      <c r="P980" s="784">
        <f t="shared" si="92"/>
        <v>0</v>
      </c>
    </row>
    <row r="981" spans="3:16" ht="12.75">
      <c r="C981" s="780">
        <f>IF(D952="","-",+C980+1)</f>
        <v>2040</v>
      </c>
      <c r="D981" s="728">
        <f t="shared" si="93"/>
        <v>12833599.635416668</v>
      </c>
      <c r="E981" s="781">
        <f t="shared" si="95"/>
        <v>306169.375</v>
      </c>
      <c r="F981" s="781">
        <f t="shared" si="89"/>
        <v>12527430.260416668</v>
      </c>
      <c r="G981" s="728">
        <f t="shared" si="94"/>
        <v>12680514.947916668</v>
      </c>
      <c r="H981" s="786">
        <f>+J953*G981+E981</f>
        <v>1718439.4831138402</v>
      </c>
      <c r="I981" s="787">
        <f>+J954*G981+E981</f>
        <v>1718439.4831138402</v>
      </c>
      <c r="J981" s="784">
        <f t="shared" si="96"/>
        <v>0</v>
      </c>
      <c r="K981" s="784"/>
      <c r="L981" s="804"/>
      <c r="M981" s="784">
        <f t="shared" si="90"/>
        <v>0</v>
      </c>
      <c r="N981" s="804"/>
      <c r="O981" s="784">
        <f t="shared" si="91"/>
        <v>0</v>
      </c>
      <c r="P981" s="784">
        <f t="shared" si="92"/>
        <v>0</v>
      </c>
    </row>
    <row r="982" spans="3:16" ht="12.75">
      <c r="C982" s="780">
        <f>IF(D952="","-",+C981+1)</f>
        <v>2041</v>
      </c>
      <c r="D982" s="728">
        <f t="shared" si="93"/>
        <v>12527430.260416668</v>
      </c>
      <c r="E982" s="781">
        <f t="shared" si="95"/>
        <v>306169.375</v>
      </c>
      <c r="F982" s="781">
        <f t="shared" si="89"/>
        <v>12221260.885416668</v>
      </c>
      <c r="G982" s="728">
        <f t="shared" si="94"/>
        <v>12374345.572916668</v>
      </c>
      <c r="H982" s="786">
        <f>+J953*G982+E982</f>
        <v>1684340.4060567657</v>
      </c>
      <c r="I982" s="787">
        <f>+J954*G982+E982</f>
        <v>1684340.4060567657</v>
      </c>
      <c r="J982" s="784">
        <f t="shared" si="96"/>
        <v>0</v>
      </c>
      <c r="K982" s="784"/>
      <c r="L982" s="804"/>
      <c r="M982" s="784">
        <f t="shared" si="90"/>
        <v>0</v>
      </c>
      <c r="N982" s="804"/>
      <c r="O982" s="784">
        <f t="shared" si="91"/>
        <v>0</v>
      </c>
      <c r="P982" s="784">
        <f t="shared" si="92"/>
        <v>0</v>
      </c>
    </row>
    <row r="983" spans="3:16" ht="12.75">
      <c r="C983" s="780">
        <f>IF(D952="","-",+C982+1)</f>
        <v>2042</v>
      </c>
      <c r="D983" s="728">
        <f t="shared" si="93"/>
        <v>12221260.885416668</v>
      </c>
      <c r="E983" s="781">
        <f t="shared" si="95"/>
        <v>306169.375</v>
      </c>
      <c r="F983" s="781">
        <f t="shared" si="89"/>
        <v>11915091.510416668</v>
      </c>
      <c r="G983" s="728">
        <f t="shared" si="94"/>
        <v>12068176.197916668</v>
      </c>
      <c r="H983" s="786">
        <f>+J953*G983+E983</f>
        <v>1650241.328999691</v>
      </c>
      <c r="I983" s="787">
        <f>+J954*G983+E983</f>
        <v>1650241.328999691</v>
      </c>
      <c r="J983" s="784">
        <f t="shared" si="96"/>
        <v>0</v>
      </c>
      <c r="K983" s="784"/>
      <c r="L983" s="804"/>
      <c r="M983" s="784">
        <f t="shared" si="90"/>
        <v>0</v>
      </c>
      <c r="N983" s="804"/>
      <c r="O983" s="784">
        <f t="shared" si="91"/>
        <v>0</v>
      </c>
      <c r="P983" s="784">
        <f t="shared" si="92"/>
        <v>0</v>
      </c>
    </row>
    <row r="984" spans="3:16" ht="12.75">
      <c r="C984" s="780">
        <f>IF(D952="","-",+C983+1)</f>
        <v>2043</v>
      </c>
      <c r="D984" s="728">
        <f t="shared" si="93"/>
        <v>11915091.510416668</v>
      </c>
      <c r="E984" s="781">
        <f t="shared" si="95"/>
        <v>306169.375</v>
      </c>
      <c r="F984" s="781">
        <f t="shared" si="89"/>
        <v>11608922.135416668</v>
      </c>
      <c r="G984" s="728">
        <f t="shared" si="94"/>
        <v>11762006.822916668</v>
      </c>
      <c r="H984" s="786">
        <f>+J953*G984+E984</f>
        <v>1616142.2519426164</v>
      </c>
      <c r="I984" s="787">
        <f>+J954*G984+E984</f>
        <v>1616142.2519426164</v>
      </c>
      <c r="J984" s="784">
        <f t="shared" si="96"/>
        <v>0</v>
      </c>
      <c r="K984" s="784"/>
      <c r="L984" s="804"/>
      <c r="M984" s="784">
        <f t="shared" si="90"/>
        <v>0</v>
      </c>
      <c r="N984" s="804"/>
      <c r="O984" s="784">
        <f t="shared" si="91"/>
        <v>0</v>
      </c>
      <c r="P984" s="784">
        <f t="shared" si="92"/>
        <v>0</v>
      </c>
    </row>
    <row r="985" spans="3:16" ht="12.75">
      <c r="C985" s="780">
        <f>IF(D952="","-",+C984+1)</f>
        <v>2044</v>
      </c>
      <c r="D985" s="728">
        <f t="shared" si="93"/>
        <v>11608922.135416668</v>
      </c>
      <c r="E985" s="781">
        <f t="shared" si="95"/>
        <v>306169.375</v>
      </c>
      <c r="F985" s="781">
        <f t="shared" si="89"/>
        <v>11302752.760416668</v>
      </c>
      <c r="G985" s="728">
        <f t="shared" si="94"/>
        <v>11455837.447916668</v>
      </c>
      <c r="H985" s="786">
        <f>+J953*G985+E985</f>
        <v>1582043.174885542</v>
      </c>
      <c r="I985" s="787">
        <f>+J954*G985+E985</f>
        <v>1582043.174885542</v>
      </c>
      <c r="J985" s="784">
        <f t="shared" si="96"/>
        <v>0</v>
      </c>
      <c r="K985" s="784"/>
      <c r="L985" s="804"/>
      <c r="M985" s="784">
        <f t="shared" si="90"/>
        <v>0</v>
      </c>
      <c r="N985" s="804"/>
      <c r="O985" s="784">
        <f t="shared" si="91"/>
        <v>0</v>
      </c>
      <c r="P985" s="784">
        <f t="shared" si="92"/>
        <v>0</v>
      </c>
    </row>
    <row r="986" spans="3:16" ht="12.75">
      <c r="C986" s="780">
        <f>IF(D952="","-",+C985+1)</f>
        <v>2045</v>
      </c>
      <c r="D986" s="728">
        <f t="shared" si="93"/>
        <v>11302752.760416668</v>
      </c>
      <c r="E986" s="781">
        <f t="shared" si="95"/>
        <v>306169.375</v>
      </c>
      <c r="F986" s="781">
        <f t="shared" si="89"/>
        <v>10996583.385416668</v>
      </c>
      <c r="G986" s="728">
        <f t="shared" si="94"/>
        <v>11149668.072916668</v>
      </c>
      <c r="H986" s="786">
        <f>+J953*G986+E986</f>
        <v>1547944.0978284671</v>
      </c>
      <c r="I986" s="787">
        <f>+J954*G986+E986</f>
        <v>1547944.0978284671</v>
      </c>
      <c r="J986" s="784">
        <f t="shared" si="96"/>
        <v>0</v>
      </c>
      <c r="K986" s="784"/>
      <c r="L986" s="804"/>
      <c r="M986" s="784">
        <f t="shared" si="90"/>
        <v>0</v>
      </c>
      <c r="N986" s="804"/>
      <c r="O986" s="784">
        <f t="shared" si="91"/>
        <v>0</v>
      </c>
      <c r="P986" s="784">
        <f t="shared" si="92"/>
        <v>0</v>
      </c>
    </row>
    <row r="987" spans="3:16" ht="12.75">
      <c r="C987" s="780">
        <f>IF(D952="","-",+C986+1)</f>
        <v>2046</v>
      </c>
      <c r="D987" s="728">
        <f t="shared" si="93"/>
        <v>10996583.385416668</v>
      </c>
      <c r="E987" s="781">
        <f t="shared" si="95"/>
        <v>306169.375</v>
      </c>
      <c r="F987" s="781">
        <f t="shared" si="89"/>
        <v>10690414.010416668</v>
      </c>
      <c r="G987" s="728">
        <f t="shared" si="94"/>
        <v>10843498.697916668</v>
      </c>
      <c r="H987" s="786">
        <f>+J953*G987+E987</f>
        <v>1513845.0207713926</v>
      </c>
      <c r="I987" s="787">
        <f>+J954*G987+E987</f>
        <v>1513845.0207713926</v>
      </c>
      <c r="J987" s="784">
        <f t="shared" si="96"/>
        <v>0</v>
      </c>
      <c r="K987" s="784"/>
      <c r="L987" s="804"/>
      <c r="M987" s="784">
        <f t="shared" si="90"/>
        <v>0</v>
      </c>
      <c r="N987" s="804"/>
      <c r="O987" s="784">
        <f t="shared" si="91"/>
        <v>0</v>
      </c>
      <c r="P987" s="784">
        <f t="shared" si="92"/>
        <v>0</v>
      </c>
    </row>
    <row r="988" spans="3:16" ht="12.75">
      <c r="C988" s="780">
        <f>IF(D952="","-",+C987+1)</f>
        <v>2047</v>
      </c>
      <c r="D988" s="728">
        <f t="shared" si="93"/>
        <v>10690414.010416668</v>
      </c>
      <c r="E988" s="781">
        <f t="shared" si="95"/>
        <v>306169.375</v>
      </c>
      <c r="F988" s="781">
        <f t="shared" si="89"/>
        <v>10384244.635416668</v>
      </c>
      <c r="G988" s="728">
        <f t="shared" si="94"/>
        <v>10537329.322916668</v>
      </c>
      <c r="H988" s="786">
        <f>+J953*G988+E988</f>
        <v>1479745.943714318</v>
      </c>
      <c r="I988" s="787">
        <f>+J954*G988+E988</f>
        <v>1479745.943714318</v>
      </c>
      <c r="J988" s="784">
        <f t="shared" si="96"/>
        <v>0</v>
      </c>
      <c r="K988" s="784"/>
      <c r="L988" s="804"/>
      <c r="M988" s="784">
        <f t="shared" si="90"/>
        <v>0</v>
      </c>
      <c r="N988" s="804"/>
      <c r="O988" s="784">
        <f t="shared" si="91"/>
        <v>0</v>
      </c>
      <c r="P988" s="784">
        <f t="shared" si="92"/>
        <v>0</v>
      </c>
    </row>
    <row r="989" spans="3:16" ht="12.75">
      <c r="C989" s="780">
        <f>IF(D952="","-",+C988+1)</f>
        <v>2048</v>
      </c>
      <c r="D989" s="728">
        <f t="shared" si="93"/>
        <v>10384244.635416668</v>
      </c>
      <c r="E989" s="781">
        <f t="shared" si="95"/>
        <v>306169.375</v>
      </c>
      <c r="F989" s="781">
        <f t="shared" si="89"/>
        <v>10078075.260416668</v>
      </c>
      <c r="G989" s="728">
        <f t="shared" si="94"/>
        <v>10231159.947916668</v>
      </c>
      <c r="H989" s="786">
        <f>+J953*G989+E989</f>
        <v>1445646.8666572433</v>
      </c>
      <c r="I989" s="787">
        <f>+J954*G989+E989</f>
        <v>1445646.8666572433</v>
      </c>
      <c r="J989" s="784">
        <f t="shared" si="96"/>
        <v>0</v>
      </c>
      <c r="K989" s="784"/>
      <c r="L989" s="804"/>
      <c r="M989" s="784">
        <f t="shared" si="90"/>
        <v>0</v>
      </c>
      <c r="N989" s="804"/>
      <c r="O989" s="784">
        <f t="shared" si="91"/>
        <v>0</v>
      </c>
      <c r="P989" s="784">
        <f t="shared" si="92"/>
        <v>0</v>
      </c>
    </row>
    <row r="990" spans="3:16" ht="12.75">
      <c r="C990" s="780">
        <f>IF(D952="","-",+C989+1)</f>
        <v>2049</v>
      </c>
      <c r="D990" s="728">
        <f t="shared" si="93"/>
        <v>10078075.260416668</v>
      </c>
      <c r="E990" s="781">
        <f t="shared" si="95"/>
        <v>306169.375</v>
      </c>
      <c r="F990" s="781">
        <f t="shared" si="89"/>
        <v>9771905.885416668</v>
      </c>
      <c r="G990" s="728">
        <f t="shared" si="94"/>
        <v>9924990.572916668</v>
      </c>
      <c r="H990" s="786">
        <f>+J953*G990+E990</f>
        <v>1411547.7896001688</v>
      </c>
      <c r="I990" s="787">
        <f>+J954*G990+E990</f>
        <v>1411547.7896001688</v>
      </c>
      <c r="J990" s="784">
        <f t="shared" si="96"/>
        <v>0</v>
      </c>
      <c r="K990" s="784"/>
      <c r="L990" s="804"/>
      <c r="M990" s="784">
        <f t="shared" si="90"/>
        <v>0</v>
      </c>
      <c r="N990" s="804"/>
      <c r="O990" s="784">
        <f t="shared" si="91"/>
        <v>0</v>
      </c>
      <c r="P990" s="784">
        <f t="shared" si="92"/>
        <v>0</v>
      </c>
    </row>
    <row r="991" spans="3:16" ht="12.75">
      <c r="C991" s="780">
        <f>IF(D952="","-",+C990+1)</f>
        <v>2050</v>
      </c>
      <c r="D991" s="728">
        <f t="shared" si="93"/>
        <v>9771905.885416668</v>
      </c>
      <c r="E991" s="781">
        <f t="shared" si="95"/>
        <v>306169.375</v>
      </c>
      <c r="F991" s="781">
        <f t="shared" si="89"/>
        <v>9465736.510416668</v>
      </c>
      <c r="G991" s="728">
        <f t="shared" si="94"/>
        <v>9618821.197916668</v>
      </c>
      <c r="H991" s="786">
        <f>+J953*G991+E991</f>
        <v>1377448.712543094</v>
      </c>
      <c r="I991" s="787">
        <f>+J954*G991+E991</f>
        <v>1377448.712543094</v>
      </c>
      <c r="J991" s="784">
        <f t="shared" si="96"/>
        <v>0</v>
      </c>
      <c r="K991" s="784"/>
      <c r="L991" s="804"/>
      <c r="M991" s="784">
        <f t="shared" si="90"/>
        <v>0</v>
      </c>
      <c r="N991" s="804"/>
      <c r="O991" s="784">
        <f t="shared" si="91"/>
        <v>0</v>
      </c>
      <c r="P991" s="784">
        <f t="shared" si="92"/>
        <v>0</v>
      </c>
    </row>
    <row r="992" spans="3:16" ht="12.75">
      <c r="C992" s="780">
        <f>IF(D952="","-",+C991+1)</f>
        <v>2051</v>
      </c>
      <c r="D992" s="728">
        <f t="shared" si="93"/>
        <v>9465736.510416668</v>
      </c>
      <c r="E992" s="781">
        <f t="shared" si="95"/>
        <v>306169.375</v>
      </c>
      <c r="F992" s="781">
        <f t="shared" si="89"/>
        <v>9159567.135416668</v>
      </c>
      <c r="G992" s="728">
        <f t="shared" si="94"/>
        <v>9312651.822916668</v>
      </c>
      <c r="H992" s="786">
        <f>+J953*G992+E992</f>
        <v>1343349.6354860195</v>
      </c>
      <c r="I992" s="787">
        <f>+J954*G992+E992</f>
        <v>1343349.6354860195</v>
      </c>
      <c r="J992" s="784">
        <f t="shared" si="96"/>
        <v>0</v>
      </c>
      <c r="K992" s="784"/>
      <c r="L992" s="804"/>
      <c r="M992" s="784">
        <f t="shared" si="90"/>
        <v>0</v>
      </c>
      <c r="N992" s="804"/>
      <c r="O992" s="784">
        <f t="shared" si="91"/>
        <v>0</v>
      </c>
      <c r="P992" s="784">
        <f t="shared" si="92"/>
        <v>0</v>
      </c>
    </row>
    <row r="993" spans="3:16" ht="12.75">
      <c r="C993" s="780">
        <f>IF(D952="","-",+C992+1)</f>
        <v>2052</v>
      </c>
      <c r="D993" s="728">
        <f t="shared" si="93"/>
        <v>9159567.135416668</v>
      </c>
      <c r="E993" s="781">
        <f t="shared" si="95"/>
        <v>306169.375</v>
      </c>
      <c r="F993" s="781">
        <f t="shared" si="89"/>
        <v>8853397.760416668</v>
      </c>
      <c r="G993" s="728">
        <f t="shared" si="94"/>
        <v>9006482.447916668</v>
      </c>
      <c r="H993" s="786">
        <f>+J953*G993+E993</f>
        <v>1309250.558428945</v>
      </c>
      <c r="I993" s="787">
        <f>+J954*G993+E993</f>
        <v>1309250.558428945</v>
      </c>
      <c r="J993" s="784">
        <f t="shared" si="96"/>
        <v>0</v>
      </c>
      <c r="K993" s="784"/>
      <c r="L993" s="804"/>
      <c r="M993" s="784">
        <f t="shared" si="90"/>
        <v>0</v>
      </c>
      <c r="N993" s="804"/>
      <c r="O993" s="784">
        <f t="shared" si="91"/>
        <v>0</v>
      </c>
      <c r="P993" s="784">
        <f t="shared" si="92"/>
        <v>0</v>
      </c>
    </row>
    <row r="994" spans="3:16" ht="12.75">
      <c r="C994" s="780">
        <f>IF(D952="","-",+C993+1)</f>
        <v>2053</v>
      </c>
      <c r="D994" s="728">
        <f t="shared" si="93"/>
        <v>8853397.760416668</v>
      </c>
      <c r="E994" s="781">
        <f t="shared" si="95"/>
        <v>306169.375</v>
      </c>
      <c r="F994" s="781">
        <f t="shared" si="89"/>
        <v>8547228.385416668</v>
      </c>
      <c r="G994" s="728">
        <f t="shared" si="94"/>
        <v>8700313.072916668</v>
      </c>
      <c r="H994" s="786">
        <f>+J953*G994+E994</f>
        <v>1275151.4813718703</v>
      </c>
      <c r="I994" s="787">
        <f>+J954*G994+E994</f>
        <v>1275151.4813718703</v>
      </c>
      <c r="J994" s="784">
        <f t="shared" si="96"/>
        <v>0</v>
      </c>
      <c r="K994" s="784"/>
      <c r="L994" s="804"/>
      <c r="M994" s="784">
        <f t="shared" si="90"/>
        <v>0</v>
      </c>
      <c r="N994" s="804"/>
      <c r="O994" s="784">
        <f t="shared" si="91"/>
        <v>0</v>
      </c>
      <c r="P994" s="784">
        <f t="shared" si="92"/>
        <v>0</v>
      </c>
    </row>
    <row r="995" spans="3:16" ht="12.75">
      <c r="C995" s="780">
        <f>IF(D952="","-",+C994+1)</f>
        <v>2054</v>
      </c>
      <c r="D995" s="728">
        <f t="shared" si="93"/>
        <v>8547228.385416668</v>
      </c>
      <c r="E995" s="781">
        <f t="shared" si="95"/>
        <v>306169.375</v>
      </c>
      <c r="F995" s="781">
        <f t="shared" si="89"/>
        <v>8241059.010416668</v>
      </c>
      <c r="G995" s="728">
        <f t="shared" si="94"/>
        <v>8394143.697916668</v>
      </c>
      <c r="H995" s="786">
        <f>+J953*G995+E995</f>
        <v>1241052.4043147957</v>
      </c>
      <c r="I995" s="787">
        <f>+J954*G995+E995</f>
        <v>1241052.4043147957</v>
      </c>
      <c r="J995" s="784">
        <f t="shared" si="96"/>
        <v>0</v>
      </c>
      <c r="K995" s="784"/>
      <c r="L995" s="804"/>
      <c r="M995" s="784">
        <f t="shared" si="90"/>
        <v>0</v>
      </c>
      <c r="N995" s="804"/>
      <c r="O995" s="784">
        <f t="shared" si="91"/>
        <v>0</v>
      </c>
      <c r="P995" s="784">
        <f t="shared" si="92"/>
        <v>0</v>
      </c>
    </row>
    <row r="996" spans="3:16" ht="12.75">
      <c r="C996" s="780">
        <f>IF(D952="","-",+C995+1)</f>
        <v>2055</v>
      </c>
      <c r="D996" s="728">
        <f t="shared" si="93"/>
        <v>8241059.010416668</v>
      </c>
      <c r="E996" s="781">
        <f t="shared" si="95"/>
        <v>306169.375</v>
      </c>
      <c r="F996" s="781">
        <f t="shared" si="89"/>
        <v>7934889.635416668</v>
      </c>
      <c r="G996" s="728">
        <f t="shared" si="94"/>
        <v>8087974.322916668</v>
      </c>
      <c r="H996" s="786">
        <f>+J953*G996+E996</f>
        <v>1206953.3272577212</v>
      </c>
      <c r="I996" s="787">
        <f>+J954*G996+E996</f>
        <v>1206953.3272577212</v>
      </c>
      <c r="J996" s="784">
        <f t="shared" si="96"/>
        <v>0</v>
      </c>
      <c r="K996" s="784"/>
      <c r="L996" s="804"/>
      <c r="M996" s="784">
        <f t="shared" si="90"/>
        <v>0</v>
      </c>
      <c r="N996" s="804"/>
      <c r="O996" s="784">
        <f t="shared" si="91"/>
        <v>0</v>
      </c>
      <c r="P996" s="784">
        <f t="shared" si="92"/>
        <v>0</v>
      </c>
    </row>
    <row r="997" spans="3:16" ht="12.75">
      <c r="C997" s="780">
        <f>IF(D952="","-",+C996+1)</f>
        <v>2056</v>
      </c>
      <c r="D997" s="728">
        <f t="shared" si="93"/>
        <v>7934889.635416668</v>
      </c>
      <c r="E997" s="781">
        <f t="shared" si="95"/>
        <v>306169.375</v>
      </c>
      <c r="F997" s="781">
        <f t="shared" si="89"/>
        <v>7628720.260416668</v>
      </c>
      <c r="G997" s="728">
        <f t="shared" si="94"/>
        <v>7781804.947916668</v>
      </c>
      <c r="H997" s="786">
        <f>+J953*G997+E997</f>
        <v>1172854.2502006465</v>
      </c>
      <c r="I997" s="787">
        <f>+J954*G997+E997</f>
        <v>1172854.2502006465</v>
      </c>
      <c r="J997" s="784">
        <f t="shared" si="96"/>
        <v>0</v>
      </c>
      <c r="K997" s="784"/>
      <c r="L997" s="804"/>
      <c r="M997" s="784">
        <f t="shared" si="90"/>
        <v>0</v>
      </c>
      <c r="N997" s="804"/>
      <c r="O997" s="784">
        <f t="shared" si="91"/>
        <v>0</v>
      </c>
      <c r="P997" s="784">
        <f t="shared" si="92"/>
        <v>0</v>
      </c>
    </row>
    <row r="998" spans="3:16" ht="12.75">
      <c r="C998" s="780">
        <f>IF(D952="","-",+C997+1)</f>
        <v>2057</v>
      </c>
      <c r="D998" s="728">
        <f t="shared" si="93"/>
        <v>7628720.260416668</v>
      </c>
      <c r="E998" s="781">
        <f t="shared" si="95"/>
        <v>306169.375</v>
      </c>
      <c r="F998" s="781">
        <f t="shared" si="89"/>
        <v>7322550.885416668</v>
      </c>
      <c r="G998" s="728">
        <f t="shared" si="94"/>
        <v>7475635.572916668</v>
      </c>
      <c r="H998" s="786">
        <f>+J953*G998+E998</f>
        <v>1138755.173143572</v>
      </c>
      <c r="I998" s="787">
        <f>+J954*G998+E998</f>
        <v>1138755.173143572</v>
      </c>
      <c r="J998" s="784">
        <f t="shared" si="96"/>
        <v>0</v>
      </c>
      <c r="K998" s="784"/>
      <c r="L998" s="804"/>
      <c r="M998" s="784">
        <f t="shared" si="90"/>
        <v>0</v>
      </c>
      <c r="N998" s="804"/>
      <c r="O998" s="784">
        <f t="shared" si="91"/>
        <v>0</v>
      </c>
      <c r="P998" s="784">
        <f t="shared" si="92"/>
        <v>0</v>
      </c>
    </row>
    <row r="999" spans="3:16" ht="12.75">
      <c r="C999" s="780">
        <f>IF(D952="","-",+C998+1)</f>
        <v>2058</v>
      </c>
      <c r="D999" s="728">
        <f t="shared" si="93"/>
        <v>7322550.885416668</v>
      </c>
      <c r="E999" s="781">
        <f t="shared" si="95"/>
        <v>306169.375</v>
      </c>
      <c r="F999" s="781">
        <f t="shared" si="89"/>
        <v>7016381.510416668</v>
      </c>
      <c r="G999" s="728">
        <f t="shared" si="94"/>
        <v>7169466.197916668</v>
      </c>
      <c r="H999" s="786">
        <f>+J953*G999+E999</f>
        <v>1104656.0960864974</v>
      </c>
      <c r="I999" s="787">
        <f>+J954*G999+E999</f>
        <v>1104656.0960864974</v>
      </c>
      <c r="J999" s="784">
        <f t="shared" si="96"/>
        <v>0</v>
      </c>
      <c r="K999" s="784"/>
      <c r="L999" s="804"/>
      <c r="M999" s="784">
        <f t="shared" si="90"/>
        <v>0</v>
      </c>
      <c r="N999" s="804"/>
      <c r="O999" s="784">
        <f t="shared" si="91"/>
        <v>0</v>
      </c>
      <c r="P999" s="784">
        <f t="shared" si="92"/>
        <v>0</v>
      </c>
    </row>
    <row r="1000" spans="3:16" ht="12.75">
      <c r="C1000" s="780">
        <f>IF(D952="","-",+C999+1)</f>
        <v>2059</v>
      </c>
      <c r="D1000" s="728">
        <f t="shared" si="93"/>
        <v>7016381.510416668</v>
      </c>
      <c r="E1000" s="781">
        <f t="shared" si="95"/>
        <v>306169.375</v>
      </c>
      <c r="F1000" s="781">
        <f t="shared" si="89"/>
        <v>6710212.135416668</v>
      </c>
      <c r="G1000" s="728">
        <f t="shared" si="94"/>
        <v>6863296.822916668</v>
      </c>
      <c r="H1000" s="786">
        <f>+J953*G1000+E1000</f>
        <v>1070557.0190294227</v>
      </c>
      <c r="I1000" s="787">
        <f>+J954*G1000+E1000</f>
        <v>1070557.0190294227</v>
      </c>
      <c r="J1000" s="784">
        <f t="shared" si="96"/>
        <v>0</v>
      </c>
      <c r="K1000" s="784"/>
      <c r="L1000" s="804"/>
      <c r="M1000" s="784">
        <f t="shared" si="90"/>
        <v>0</v>
      </c>
      <c r="N1000" s="804"/>
      <c r="O1000" s="784">
        <f t="shared" si="91"/>
        <v>0</v>
      </c>
      <c r="P1000" s="784">
        <f t="shared" si="92"/>
        <v>0</v>
      </c>
    </row>
    <row r="1001" spans="3:16" ht="12.75">
      <c r="C1001" s="780">
        <f>IF(D952="","-",+C1000+1)</f>
        <v>2060</v>
      </c>
      <c r="D1001" s="728">
        <f t="shared" si="93"/>
        <v>6710212.135416668</v>
      </c>
      <c r="E1001" s="781">
        <f t="shared" si="95"/>
        <v>306169.375</v>
      </c>
      <c r="F1001" s="781">
        <f t="shared" si="89"/>
        <v>6404042.760416668</v>
      </c>
      <c r="G1001" s="728">
        <f t="shared" si="94"/>
        <v>6557127.447916668</v>
      </c>
      <c r="H1001" s="786">
        <f>+J953*G1001+E1001</f>
        <v>1036457.941972348</v>
      </c>
      <c r="I1001" s="787">
        <f>+J954*G1001+E1001</f>
        <v>1036457.941972348</v>
      </c>
      <c r="J1001" s="784">
        <f t="shared" si="96"/>
        <v>0</v>
      </c>
      <c r="K1001" s="784"/>
      <c r="L1001" s="804"/>
      <c r="M1001" s="784">
        <f t="shared" si="90"/>
        <v>0</v>
      </c>
      <c r="N1001" s="804"/>
      <c r="O1001" s="784">
        <f t="shared" si="91"/>
        <v>0</v>
      </c>
      <c r="P1001" s="784">
        <f t="shared" si="92"/>
        <v>0</v>
      </c>
    </row>
    <row r="1002" spans="3:16" ht="12.75">
      <c r="C1002" s="780">
        <f>IF(D952="","-",+C1001+1)</f>
        <v>2061</v>
      </c>
      <c r="D1002" s="728">
        <f t="shared" si="93"/>
        <v>6404042.760416668</v>
      </c>
      <c r="E1002" s="781">
        <f t="shared" si="95"/>
        <v>306169.375</v>
      </c>
      <c r="F1002" s="781">
        <f t="shared" si="89"/>
        <v>6097873.385416668</v>
      </c>
      <c r="G1002" s="728">
        <f t="shared" si="94"/>
        <v>6250958.072916668</v>
      </c>
      <c r="H1002" s="786">
        <f>+J953*G1002+E1002</f>
        <v>1002358.8649152735</v>
      </c>
      <c r="I1002" s="787">
        <f>+J954*G1002+E1002</f>
        <v>1002358.8649152735</v>
      </c>
      <c r="J1002" s="784">
        <f t="shared" si="96"/>
        <v>0</v>
      </c>
      <c r="K1002" s="784"/>
      <c r="L1002" s="804"/>
      <c r="M1002" s="784">
        <f t="shared" si="90"/>
        <v>0</v>
      </c>
      <c r="N1002" s="804"/>
      <c r="O1002" s="784">
        <f t="shared" si="91"/>
        <v>0</v>
      </c>
      <c r="P1002" s="784">
        <f t="shared" si="92"/>
        <v>0</v>
      </c>
    </row>
    <row r="1003" spans="3:16" ht="12.75">
      <c r="C1003" s="780">
        <f>IF(D952="","-",+C1002+1)</f>
        <v>2062</v>
      </c>
      <c r="D1003" s="728">
        <f t="shared" si="93"/>
        <v>6097873.385416668</v>
      </c>
      <c r="E1003" s="781">
        <f t="shared" si="95"/>
        <v>306169.375</v>
      </c>
      <c r="F1003" s="781">
        <f t="shared" si="89"/>
        <v>5791704.010416668</v>
      </c>
      <c r="G1003" s="728">
        <f t="shared" si="94"/>
        <v>5944788.697916668</v>
      </c>
      <c r="H1003" s="786">
        <f>+J953*G1003+E1003</f>
        <v>968259.7878581989</v>
      </c>
      <c r="I1003" s="787">
        <f>+J954*G1003+E1003</f>
        <v>968259.7878581989</v>
      </c>
      <c r="J1003" s="784">
        <f t="shared" si="96"/>
        <v>0</v>
      </c>
      <c r="K1003" s="784"/>
      <c r="L1003" s="804"/>
      <c r="M1003" s="784">
        <f t="shared" si="90"/>
        <v>0</v>
      </c>
      <c r="N1003" s="804"/>
      <c r="O1003" s="784">
        <f t="shared" si="91"/>
        <v>0</v>
      </c>
      <c r="P1003" s="784">
        <f t="shared" si="92"/>
        <v>0</v>
      </c>
    </row>
    <row r="1004" spans="3:16" ht="12.75">
      <c r="C1004" s="780">
        <f>IF(D952="","-",+C1003+1)</f>
        <v>2063</v>
      </c>
      <c r="D1004" s="728">
        <f t="shared" si="93"/>
        <v>5791704.010416668</v>
      </c>
      <c r="E1004" s="781">
        <f t="shared" si="95"/>
        <v>306169.375</v>
      </c>
      <c r="F1004" s="781">
        <f t="shared" si="89"/>
        <v>5485534.635416668</v>
      </c>
      <c r="G1004" s="728">
        <f t="shared" si="94"/>
        <v>5638619.322916668</v>
      </c>
      <c r="H1004" s="786">
        <f>+J953*G1004+E1004</f>
        <v>934160.7108011242</v>
      </c>
      <c r="I1004" s="787">
        <f>+J954*G1004+E1004</f>
        <v>934160.7108011242</v>
      </c>
      <c r="J1004" s="784">
        <f t="shared" si="96"/>
        <v>0</v>
      </c>
      <c r="K1004" s="784"/>
      <c r="L1004" s="804"/>
      <c r="M1004" s="784">
        <f t="shared" si="90"/>
        <v>0</v>
      </c>
      <c r="N1004" s="804"/>
      <c r="O1004" s="784">
        <f t="shared" si="91"/>
        <v>0</v>
      </c>
      <c r="P1004" s="784">
        <f t="shared" si="92"/>
        <v>0</v>
      </c>
    </row>
    <row r="1005" spans="3:16" ht="12.75">
      <c r="C1005" s="780">
        <f>IF(D952="","-",+C1004+1)</f>
        <v>2064</v>
      </c>
      <c r="D1005" s="728">
        <f t="shared" si="93"/>
        <v>5485534.635416668</v>
      </c>
      <c r="E1005" s="781">
        <f t="shared" si="95"/>
        <v>306169.375</v>
      </c>
      <c r="F1005" s="781">
        <f t="shared" si="89"/>
        <v>5179365.260416668</v>
      </c>
      <c r="G1005" s="728">
        <f t="shared" si="94"/>
        <v>5332449.947916668</v>
      </c>
      <c r="H1005" s="786">
        <f>+J953*G1005+E1005</f>
        <v>900061.6337440496</v>
      </c>
      <c r="I1005" s="787">
        <f>+J954*G1005+E1005</f>
        <v>900061.6337440496</v>
      </c>
      <c r="J1005" s="784">
        <f t="shared" si="96"/>
        <v>0</v>
      </c>
      <c r="K1005" s="784"/>
      <c r="L1005" s="804"/>
      <c r="M1005" s="784">
        <f t="shared" si="90"/>
        <v>0</v>
      </c>
      <c r="N1005" s="804"/>
      <c r="O1005" s="784">
        <f t="shared" si="91"/>
        <v>0</v>
      </c>
      <c r="P1005" s="784">
        <f t="shared" si="92"/>
        <v>0</v>
      </c>
    </row>
    <row r="1006" spans="3:16" ht="12.75">
      <c r="C1006" s="780">
        <f>IF(D952="","-",+C1005+1)</f>
        <v>2065</v>
      </c>
      <c r="D1006" s="728">
        <f t="shared" si="93"/>
        <v>5179365.260416668</v>
      </c>
      <c r="E1006" s="781">
        <f t="shared" si="95"/>
        <v>306169.375</v>
      </c>
      <c r="F1006" s="781">
        <f t="shared" si="89"/>
        <v>4873195.885416668</v>
      </c>
      <c r="G1006" s="728">
        <f t="shared" si="94"/>
        <v>5026280.572916668</v>
      </c>
      <c r="H1006" s="786">
        <f>+J953*G1006+E1006</f>
        <v>865962.556686975</v>
      </c>
      <c r="I1006" s="787">
        <f>+J954*G1006+E1006</f>
        <v>865962.556686975</v>
      </c>
      <c r="J1006" s="784">
        <f t="shared" si="96"/>
        <v>0</v>
      </c>
      <c r="K1006" s="784"/>
      <c r="L1006" s="804"/>
      <c r="M1006" s="784">
        <f t="shared" si="90"/>
        <v>0</v>
      </c>
      <c r="N1006" s="804"/>
      <c r="O1006" s="784">
        <f t="shared" si="91"/>
        <v>0</v>
      </c>
      <c r="P1006" s="784">
        <f t="shared" si="92"/>
        <v>0</v>
      </c>
    </row>
    <row r="1007" spans="3:16" ht="12.75">
      <c r="C1007" s="780">
        <f>IF(D952="","-",+C1006+1)</f>
        <v>2066</v>
      </c>
      <c r="D1007" s="728">
        <f t="shared" si="93"/>
        <v>4873195.885416668</v>
      </c>
      <c r="E1007" s="781">
        <f t="shared" si="95"/>
        <v>306169.375</v>
      </c>
      <c r="F1007" s="781">
        <f t="shared" si="89"/>
        <v>4567026.510416668</v>
      </c>
      <c r="G1007" s="728">
        <f t="shared" si="94"/>
        <v>4720111.197916668</v>
      </c>
      <c r="H1007" s="786">
        <f>+J953*G1007+E1007</f>
        <v>831863.4796299004</v>
      </c>
      <c r="I1007" s="787">
        <f>+J954*G1007+E1007</f>
        <v>831863.4796299004</v>
      </c>
      <c r="J1007" s="784">
        <f t="shared" si="96"/>
        <v>0</v>
      </c>
      <c r="K1007" s="784"/>
      <c r="L1007" s="804"/>
      <c r="M1007" s="784">
        <f t="shared" si="90"/>
        <v>0</v>
      </c>
      <c r="N1007" s="804"/>
      <c r="O1007" s="784">
        <f t="shared" si="91"/>
        <v>0</v>
      </c>
      <c r="P1007" s="784">
        <f t="shared" si="92"/>
        <v>0</v>
      </c>
    </row>
    <row r="1008" spans="3:16" ht="12.75">
      <c r="C1008" s="780">
        <f>IF(D952="","-",+C1007+1)</f>
        <v>2067</v>
      </c>
      <c r="D1008" s="728">
        <f t="shared" si="93"/>
        <v>4567026.510416668</v>
      </c>
      <c r="E1008" s="781">
        <f t="shared" si="95"/>
        <v>306169.375</v>
      </c>
      <c r="F1008" s="781">
        <f t="shared" si="89"/>
        <v>4260857.135416668</v>
      </c>
      <c r="G1008" s="728">
        <f t="shared" si="94"/>
        <v>4413941.822916668</v>
      </c>
      <c r="H1008" s="786">
        <f>+J953*G1008+E1008</f>
        <v>797764.4025728258</v>
      </c>
      <c r="I1008" s="787">
        <f>+J954*G1008+E1008</f>
        <v>797764.4025728258</v>
      </c>
      <c r="J1008" s="784">
        <f t="shared" si="96"/>
        <v>0</v>
      </c>
      <c r="K1008" s="784"/>
      <c r="L1008" s="804"/>
      <c r="M1008" s="784">
        <f t="shared" si="90"/>
        <v>0</v>
      </c>
      <c r="N1008" s="804"/>
      <c r="O1008" s="784">
        <f t="shared" si="91"/>
        <v>0</v>
      </c>
      <c r="P1008" s="784">
        <f t="shared" si="92"/>
        <v>0</v>
      </c>
    </row>
    <row r="1009" spans="3:16" ht="12.75">
      <c r="C1009" s="780">
        <f>IF(D952="","-",+C1008+1)</f>
        <v>2068</v>
      </c>
      <c r="D1009" s="728">
        <f t="shared" si="93"/>
        <v>4260857.135416668</v>
      </c>
      <c r="E1009" s="781">
        <f t="shared" si="95"/>
        <v>306169.375</v>
      </c>
      <c r="F1009" s="781">
        <f t="shared" si="89"/>
        <v>3954687.760416668</v>
      </c>
      <c r="G1009" s="728">
        <f t="shared" si="94"/>
        <v>4107772.447916668</v>
      </c>
      <c r="H1009" s="786">
        <f>+J953*G1009+E1009</f>
        <v>763665.3255157511</v>
      </c>
      <c r="I1009" s="787">
        <f>+J954*G1009+E1009</f>
        <v>763665.3255157511</v>
      </c>
      <c r="J1009" s="784">
        <f t="shared" si="96"/>
        <v>0</v>
      </c>
      <c r="K1009" s="784"/>
      <c r="L1009" s="804"/>
      <c r="M1009" s="784">
        <f t="shared" si="90"/>
        <v>0</v>
      </c>
      <c r="N1009" s="804"/>
      <c r="O1009" s="784">
        <f t="shared" si="91"/>
        <v>0</v>
      </c>
      <c r="P1009" s="784">
        <f t="shared" si="92"/>
        <v>0</v>
      </c>
    </row>
    <row r="1010" spans="3:16" ht="12.75">
      <c r="C1010" s="780">
        <f>IF(D952="","-",+C1009+1)</f>
        <v>2069</v>
      </c>
      <c r="D1010" s="728">
        <f t="shared" si="93"/>
        <v>3954687.760416668</v>
      </c>
      <c r="E1010" s="781">
        <f t="shared" si="95"/>
        <v>306169.375</v>
      </c>
      <c r="F1010" s="781">
        <f t="shared" si="89"/>
        <v>3648518.385416668</v>
      </c>
      <c r="G1010" s="728">
        <f t="shared" si="94"/>
        <v>3801603.072916668</v>
      </c>
      <c r="H1010" s="786">
        <f>+J953*G1010+E1010</f>
        <v>729566.2484586765</v>
      </c>
      <c r="I1010" s="787">
        <f>+J954*G1010+E1010</f>
        <v>729566.2484586765</v>
      </c>
      <c r="J1010" s="784">
        <f t="shared" si="96"/>
        <v>0</v>
      </c>
      <c r="K1010" s="784"/>
      <c r="L1010" s="804"/>
      <c r="M1010" s="784">
        <f t="shared" si="90"/>
        <v>0</v>
      </c>
      <c r="N1010" s="804"/>
      <c r="O1010" s="784">
        <f t="shared" si="91"/>
        <v>0</v>
      </c>
      <c r="P1010" s="784">
        <f t="shared" si="92"/>
        <v>0</v>
      </c>
    </row>
    <row r="1011" spans="3:16" ht="12.75">
      <c r="C1011" s="780">
        <f>IF(D952="","-",+C1010+1)</f>
        <v>2070</v>
      </c>
      <c r="D1011" s="728">
        <f t="shared" si="93"/>
        <v>3648518.385416668</v>
      </c>
      <c r="E1011" s="781">
        <f t="shared" si="95"/>
        <v>306169.375</v>
      </c>
      <c r="F1011" s="781">
        <f t="shared" si="89"/>
        <v>3342349.010416668</v>
      </c>
      <c r="G1011" s="728">
        <f t="shared" si="94"/>
        <v>3495433.697916668</v>
      </c>
      <c r="H1011" s="786">
        <f>+J953*G1011+E1011</f>
        <v>695467.171401602</v>
      </c>
      <c r="I1011" s="787">
        <f>+J954*G1011+E1011</f>
        <v>695467.171401602</v>
      </c>
      <c r="J1011" s="784">
        <f t="shared" si="96"/>
        <v>0</v>
      </c>
      <c r="K1011" s="784"/>
      <c r="L1011" s="804"/>
      <c r="M1011" s="784">
        <f t="shared" si="90"/>
        <v>0</v>
      </c>
      <c r="N1011" s="804"/>
      <c r="O1011" s="784">
        <f t="shared" si="91"/>
        <v>0</v>
      </c>
      <c r="P1011" s="784">
        <f t="shared" si="92"/>
        <v>0</v>
      </c>
    </row>
    <row r="1012" spans="3:16" ht="12.75">
      <c r="C1012" s="780">
        <f>IF(D952="","-",+C1011+1)</f>
        <v>2071</v>
      </c>
      <c r="D1012" s="728">
        <f t="shared" si="93"/>
        <v>3342349.010416668</v>
      </c>
      <c r="E1012" s="781">
        <f t="shared" si="95"/>
        <v>306169.375</v>
      </c>
      <c r="F1012" s="781">
        <f t="shared" si="89"/>
        <v>3036179.635416668</v>
      </c>
      <c r="G1012" s="728">
        <f t="shared" si="94"/>
        <v>3189264.322916668</v>
      </c>
      <c r="H1012" s="786">
        <f>+J953*G1012+E1012</f>
        <v>661368.0943445273</v>
      </c>
      <c r="I1012" s="787">
        <f>+J954*G1012+E1012</f>
        <v>661368.0943445273</v>
      </c>
      <c r="J1012" s="784">
        <f t="shared" si="96"/>
        <v>0</v>
      </c>
      <c r="K1012" s="784"/>
      <c r="L1012" s="804"/>
      <c r="M1012" s="784">
        <f t="shared" si="90"/>
        <v>0</v>
      </c>
      <c r="N1012" s="804"/>
      <c r="O1012" s="784">
        <f t="shared" si="91"/>
        <v>0</v>
      </c>
      <c r="P1012" s="784">
        <f t="shared" si="92"/>
        <v>0</v>
      </c>
    </row>
    <row r="1013" spans="3:16" ht="12.75">
      <c r="C1013" s="780">
        <f>IF(D952="","-",+C1012+1)</f>
        <v>2072</v>
      </c>
      <c r="D1013" s="728">
        <f t="shared" si="93"/>
        <v>3036179.635416668</v>
      </c>
      <c r="E1013" s="781">
        <f t="shared" si="95"/>
        <v>306169.375</v>
      </c>
      <c r="F1013" s="781">
        <f t="shared" si="89"/>
        <v>2730010.260416668</v>
      </c>
      <c r="G1013" s="728">
        <f t="shared" si="94"/>
        <v>2883094.947916668</v>
      </c>
      <c r="H1013" s="786">
        <f>+J953*G1013+E1013</f>
        <v>627269.0172874527</v>
      </c>
      <c r="I1013" s="787">
        <f>+J954*G1013+E1013</f>
        <v>627269.0172874527</v>
      </c>
      <c r="J1013" s="784">
        <f t="shared" si="96"/>
        <v>0</v>
      </c>
      <c r="K1013" s="784"/>
      <c r="L1013" s="804"/>
      <c r="M1013" s="784">
        <f t="shared" si="90"/>
        <v>0</v>
      </c>
      <c r="N1013" s="804"/>
      <c r="O1013" s="784">
        <f t="shared" si="91"/>
        <v>0</v>
      </c>
      <c r="P1013" s="784">
        <f t="shared" si="92"/>
        <v>0</v>
      </c>
    </row>
    <row r="1014" spans="3:16" ht="12.75">
      <c r="C1014" s="780">
        <f>IF(D952="","-",+C1013+1)</f>
        <v>2073</v>
      </c>
      <c r="D1014" s="728">
        <f t="shared" si="93"/>
        <v>2730010.260416668</v>
      </c>
      <c r="E1014" s="781">
        <f t="shared" si="95"/>
        <v>306169.375</v>
      </c>
      <c r="F1014" s="781">
        <f t="shared" si="89"/>
        <v>2423840.885416668</v>
      </c>
      <c r="G1014" s="728">
        <f t="shared" si="94"/>
        <v>2576925.572916668</v>
      </c>
      <c r="H1014" s="786">
        <f>+J953*G1014+E1014</f>
        <v>593169.9402303782</v>
      </c>
      <c r="I1014" s="787">
        <f>+J954*G1014+E1014</f>
        <v>593169.9402303782</v>
      </c>
      <c r="J1014" s="784">
        <f t="shared" si="96"/>
        <v>0</v>
      </c>
      <c r="K1014" s="784"/>
      <c r="L1014" s="804"/>
      <c r="M1014" s="784">
        <f t="shared" si="90"/>
        <v>0</v>
      </c>
      <c r="N1014" s="804"/>
      <c r="O1014" s="784">
        <f t="shared" si="91"/>
        <v>0</v>
      </c>
      <c r="P1014" s="784">
        <f t="shared" si="92"/>
        <v>0</v>
      </c>
    </row>
    <row r="1015" spans="3:16" ht="12.75">
      <c r="C1015" s="780">
        <f>IF(D952="","-",+C1014+1)</f>
        <v>2074</v>
      </c>
      <c r="D1015" s="728">
        <f t="shared" si="93"/>
        <v>2423840.885416668</v>
      </c>
      <c r="E1015" s="781">
        <f t="shared" si="95"/>
        <v>306169.375</v>
      </c>
      <c r="F1015" s="781">
        <f t="shared" si="89"/>
        <v>2117671.510416668</v>
      </c>
      <c r="G1015" s="728">
        <f t="shared" si="94"/>
        <v>2270756.197916668</v>
      </c>
      <c r="H1015" s="786">
        <f>+J953*G1015+E1015</f>
        <v>559070.8631733035</v>
      </c>
      <c r="I1015" s="787">
        <f>+J954*G1015+E1015</f>
        <v>559070.8631733035</v>
      </c>
      <c r="J1015" s="784">
        <f t="shared" si="96"/>
        <v>0</v>
      </c>
      <c r="K1015" s="784"/>
      <c r="L1015" s="804"/>
      <c r="M1015" s="784">
        <f t="shared" si="90"/>
        <v>0</v>
      </c>
      <c r="N1015" s="804"/>
      <c r="O1015" s="784">
        <f t="shared" si="91"/>
        <v>0</v>
      </c>
      <c r="P1015" s="784">
        <f t="shared" si="92"/>
        <v>0</v>
      </c>
    </row>
    <row r="1016" spans="3:16" ht="12.75">
      <c r="C1016" s="780">
        <f>IF(D952="","-",+C1015+1)</f>
        <v>2075</v>
      </c>
      <c r="D1016" s="728">
        <f t="shared" si="93"/>
        <v>2117671.510416668</v>
      </c>
      <c r="E1016" s="781">
        <f t="shared" si="95"/>
        <v>306169.375</v>
      </c>
      <c r="F1016" s="781">
        <f t="shared" si="89"/>
        <v>1811502.135416668</v>
      </c>
      <c r="G1016" s="728">
        <f t="shared" si="94"/>
        <v>1964586.822916668</v>
      </c>
      <c r="H1016" s="786">
        <f>+J953*G1016+E1016</f>
        <v>524971.7861162289</v>
      </c>
      <c r="I1016" s="787">
        <f>+J954*G1016+E1016</f>
        <v>524971.7861162289</v>
      </c>
      <c r="J1016" s="784">
        <f t="shared" si="96"/>
        <v>0</v>
      </c>
      <c r="K1016" s="784"/>
      <c r="L1016" s="804"/>
      <c r="M1016" s="784">
        <f t="shared" si="90"/>
        <v>0</v>
      </c>
      <c r="N1016" s="804"/>
      <c r="O1016" s="784">
        <f t="shared" si="91"/>
        <v>0</v>
      </c>
      <c r="P1016" s="784">
        <f t="shared" si="92"/>
        <v>0</v>
      </c>
    </row>
    <row r="1017" spans="3:16" ht="13.5" thickBot="1">
      <c r="C1017" s="790">
        <f>IF(D952="","-",+C1016+1)</f>
        <v>2076</v>
      </c>
      <c r="D1017" s="791">
        <f t="shared" si="93"/>
        <v>1811502.135416668</v>
      </c>
      <c r="E1017" s="781">
        <f t="shared" si="95"/>
        <v>306169.375</v>
      </c>
      <c r="F1017" s="792">
        <f t="shared" si="89"/>
        <v>1505332.760416668</v>
      </c>
      <c r="G1017" s="791">
        <f t="shared" si="94"/>
        <v>1658417.447916668</v>
      </c>
      <c r="H1017" s="793">
        <f>+J953*G1017+E1017</f>
        <v>490872.70905915427</v>
      </c>
      <c r="I1017" s="793">
        <f>+J954*G1017+E1017</f>
        <v>490872.70905915427</v>
      </c>
      <c r="J1017" s="794">
        <f t="shared" si="96"/>
        <v>0</v>
      </c>
      <c r="K1017" s="784"/>
      <c r="L1017" s="805"/>
      <c r="M1017" s="794">
        <f t="shared" si="90"/>
        <v>0</v>
      </c>
      <c r="N1017" s="805"/>
      <c r="O1017" s="794">
        <f t="shared" si="91"/>
        <v>0</v>
      </c>
      <c r="P1017" s="794">
        <f t="shared" si="92"/>
        <v>0</v>
      </c>
    </row>
    <row r="1018" spans="3:15" ht="12.75">
      <c r="C1018" s="728" t="s">
        <v>92</v>
      </c>
      <c r="D1018" s="722"/>
      <c r="E1018" s="722">
        <f>SUM(E958:E1017)</f>
        <v>18089507.239583332</v>
      </c>
      <c r="F1018" s="722"/>
      <c r="G1018" s="722"/>
      <c r="H1018" s="722">
        <f>SUM(H958:H1017)</f>
        <v>89511444.93050349</v>
      </c>
      <c r="I1018" s="722">
        <f>SUM(I958:I1017)</f>
        <v>89511444.93050349</v>
      </c>
      <c r="J1018" s="722">
        <f>SUM(J958:J1017)</f>
        <v>0</v>
      </c>
      <c r="K1018" s="722"/>
      <c r="L1018" s="722"/>
      <c r="M1018" s="722"/>
      <c r="N1018" s="722"/>
      <c r="O1018" s="722"/>
    </row>
    <row r="1019" spans="4:15" ht="12.75">
      <c r="D1019" s="532"/>
      <c r="E1019" s="308"/>
      <c r="F1019" s="308"/>
      <c r="G1019" s="308"/>
      <c r="H1019" s="308"/>
      <c r="I1019" s="701"/>
      <c r="J1019" s="701"/>
      <c r="K1019" s="722"/>
      <c r="L1019" s="701"/>
      <c r="M1019" s="701"/>
      <c r="N1019" s="701"/>
      <c r="O1019" s="701"/>
    </row>
    <row r="1020" spans="3:15" ht="12.75">
      <c r="C1020" s="308" t="s">
        <v>14</v>
      </c>
      <c r="D1020" s="532"/>
      <c r="E1020" s="308"/>
      <c r="F1020" s="308"/>
      <c r="G1020" s="308"/>
      <c r="H1020" s="308"/>
      <c r="I1020" s="701"/>
      <c r="J1020" s="701"/>
      <c r="K1020" s="722"/>
      <c r="L1020" s="701"/>
      <c r="M1020" s="701"/>
      <c r="N1020" s="701"/>
      <c r="O1020" s="701"/>
    </row>
    <row r="1021" spans="3:15" ht="12.75">
      <c r="C1021" s="308"/>
      <c r="D1021" s="532"/>
      <c r="E1021" s="308"/>
      <c r="F1021" s="308"/>
      <c r="G1021" s="308"/>
      <c r="H1021" s="308"/>
      <c r="I1021" s="701"/>
      <c r="J1021" s="701"/>
      <c r="K1021" s="722"/>
      <c r="L1021" s="701"/>
      <c r="M1021" s="701"/>
      <c r="N1021" s="701"/>
      <c r="O1021" s="701"/>
    </row>
    <row r="1022" spans="3:15" ht="12.75">
      <c r="C1022" s="741" t="s">
        <v>15</v>
      </c>
      <c r="D1022" s="728"/>
      <c r="E1022" s="728"/>
      <c r="F1022" s="728"/>
      <c r="G1022" s="728"/>
      <c r="H1022" s="722"/>
      <c r="I1022" s="722"/>
      <c r="J1022" s="796"/>
      <c r="K1022" s="796"/>
      <c r="L1022" s="796"/>
      <c r="M1022" s="796"/>
      <c r="N1022" s="796"/>
      <c r="O1022" s="796"/>
    </row>
    <row r="1023" spans="3:15" ht="12.75">
      <c r="C1023" s="727" t="s">
        <v>272</v>
      </c>
      <c r="D1023" s="728"/>
      <c r="E1023" s="728"/>
      <c r="F1023" s="728"/>
      <c r="G1023" s="728"/>
      <c r="H1023" s="722"/>
      <c r="I1023" s="722"/>
      <c r="J1023" s="796"/>
      <c r="K1023" s="796"/>
      <c r="L1023" s="796"/>
      <c r="M1023" s="796"/>
      <c r="N1023" s="796"/>
      <c r="O1023" s="796"/>
    </row>
    <row r="1024" spans="3:15" ht="12.75">
      <c r="C1024" s="727" t="s">
        <v>93</v>
      </c>
      <c r="D1024" s="728"/>
      <c r="E1024" s="728"/>
      <c r="F1024" s="728"/>
      <c r="G1024" s="728"/>
      <c r="H1024" s="722"/>
      <c r="I1024" s="722"/>
      <c r="J1024" s="796"/>
      <c r="K1024" s="796"/>
      <c r="L1024" s="796"/>
      <c r="M1024" s="796"/>
      <c r="N1024" s="796"/>
      <c r="O1024" s="796"/>
    </row>
  </sheetData>
  <sheetProtection/>
  <mergeCells count="31">
    <mergeCell ref="D947:J948"/>
    <mergeCell ref="L951:O951"/>
    <mergeCell ref="J75:P78"/>
    <mergeCell ref="L177:O177"/>
    <mergeCell ref="D87:J87"/>
    <mergeCell ref="D173:I174"/>
    <mergeCell ref="D345:J346"/>
    <mergeCell ref="L435:O435"/>
    <mergeCell ref="D431:J432"/>
    <mergeCell ref="L263:O263"/>
    <mergeCell ref="A1:P1"/>
    <mergeCell ref="C9:I10"/>
    <mergeCell ref="A2:P2"/>
    <mergeCell ref="A3:P3"/>
    <mergeCell ref="A4:P4"/>
    <mergeCell ref="L91:O91"/>
    <mergeCell ref="C49:D50"/>
    <mergeCell ref="C58:D59"/>
    <mergeCell ref="C69:D70"/>
    <mergeCell ref="D259:I259"/>
    <mergeCell ref="L349:O349"/>
    <mergeCell ref="L693:O693"/>
    <mergeCell ref="D775:J776"/>
    <mergeCell ref="L779:O779"/>
    <mergeCell ref="D861:J862"/>
    <mergeCell ref="L865:O865"/>
    <mergeCell ref="D517:J518"/>
    <mergeCell ref="L521:O521"/>
    <mergeCell ref="D603:J604"/>
    <mergeCell ref="L607:O607"/>
    <mergeCell ref="D689:J690"/>
  </mergeCells>
  <conditionalFormatting sqref="C98:C157">
    <cfRule type="cellIs" priority="31" dxfId="2" operator="equal" stopIfTrue="1">
      <formula>$J$90</formula>
    </cfRule>
  </conditionalFormatting>
  <conditionalFormatting sqref="C184:C243">
    <cfRule type="cellIs" priority="20" dxfId="2" operator="equal" stopIfTrue="1">
      <formula>$J$90</formula>
    </cfRule>
  </conditionalFormatting>
  <conditionalFormatting sqref="C270:C329">
    <cfRule type="cellIs" priority="19" dxfId="2" operator="equal" stopIfTrue="1">
      <formula>$J$90</formula>
    </cfRule>
  </conditionalFormatting>
  <conditionalFormatting sqref="C356:C415">
    <cfRule type="cellIs" priority="18" dxfId="2" operator="equal" stopIfTrue="1">
      <formula>$J$90</formula>
    </cfRule>
  </conditionalFormatting>
  <conditionalFormatting sqref="C442:C501">
    <cfRule type="cellIs" priority="17" dxfId="2" operator="equal" stopIfTrue="1">
      <formula>$J$90</formula>
    </cfRule>
  </conditionalFormatting>
  <conditionalFormatting sqref="C528:C587">
    <cfRule type="cellIs" priority="16" dxfId="2" operator="equal" stopIfTrue="1">
      <formula>$J$90</formula>
    </cfRule>
  </conditionalFormatting>
  <conditionalFormatting sqref="C614:C673">
    <cfRule type="cellIs" priority="15" dxfId="2" operator="equal" stopIfTrue="1">
      <formula>$J$90</formula>
    </cfRule>
  </conditionalFormatting>
  <conditionalFormatting sqref="C700:C759">
    <cfRule type="cellIs" priority="14" dxfId="2" operator="equal" stopIfTrue="1">
      <formula>$J$90</formula>
    </cfRule>
  </conditionalFormatting>
  <conditionalFormatting sqref="C786:C845">
    <cfRule type="cellIs" priority="13" dxfId="2" operator="equal" stopIfTrue="1">
      <formula>$J$90</formula>
    </cfRule>
  </conditionalFormatting>
  <conditionalFormatting sqref="C872:C931">
    <cfRule type="cellIs" priority="12" dxfId="2" operator="equal" stopIfTrue="1">
      <formula>$J$90</formula>
    </cfRule>
  </conditionalFormatting>
  <conditionalFormatting sqref="C958:C1017">
    <cfRule type="cellIs" priority="11" dxfId="2" operator="equal" stopIfTrue="1">
      <formula>$J$90</formula>
    </cfRule>
  </conditionalFormatting>
  <printOptions/>
  <pageMargins left="0.26" right="1.28" top="0.72" bottom="0.72" header="0.75" footer="0.5"/>
  <pageSetup fitToHeight="2" horizontalDpi="600" verticalDpi="600" orientation="landscape" scale="41" r:id="rId1"/>
  <headerFooter alignWithMargins="0">
    <oddHeader>&amp;R&amp;"Arial,Bold"Formula Rate 
&amp;A
Page &amp;P of &amp;N</oddHeader>
  </headerFooter>
  <rowBreaks count="11" manualBreakCount="11">
    <brk id="78" max="15" man="1"/>
    <brk id="164" max="15" man="1"/>
    <brk id="250" max="15" man="1"/>
    <brk id="336" max="15" man="1"/>
    <brk id="422" max="15" man="1"/>
    <brk id="508" max="15" man="1"/>
    <brk id="594" max="15" man="1"/>
    <brk id="680" max="15" man="1"/>
    <brk id="766" max="15" man="1"/>
    <brk id="852" max="15" man="1"/>
    <brk id="938" max="15" man="1"/>
  </rowBreaks>
</worksheet>
</file>

<file path=xl/worksheets/sheet16.xml><?xml version="1.0" encoding="utf-8"?>
<worksheet xmlns="http://schemas.openxmlformats.org/spreadsheetml/2006/main" xmlns:r="http://schemas.openxmlformats.org/officeDocument/2006/relationships">
  <sheetPr>
    <pageSetUpPr fitToPage="1"/>
  </sheetPr>
  <dimension ref="B1:E8"/>
  <sheetViews>
    <sheetView zoomScalePageLayoutView="0" workbookViewId="0" topLeftCell="A1">
      <selection activeCell="A1" sqref="A1"/>
    </sheetView>
  </sheetViews>
  <sheetFormatPr defaultColWidth="9.140625" defaultRowHeight="12.75"/>
  <cols>
    <col min="1" max="1" width="9.140625" style="15" customWidth="1"/>
    <col min="2" max="2" width="40.140625" style="91" customWidth="1"/>
    <col min="3" max="3" width="31.57421875" style="88" customWidth="1"/>
    <col min="4" max="4" width="14.8515625" style="88" customWidth="1"/>
    <col min="5" max="5" width="18.00390625" style="88" customWidth="1"/>
    <col min="6" max="16384" width="9.140625" style="88" customWidth="1"/>
  </cols>
  <sheetData>
    <row r="1" spans="2:5" ht="15">
      <c r="B1" s="1429" t="str">
        <f>TCOS!$F$3</f>
        <v>AEPTCo subsidiaries in PJM</v>
      </c>
      <c r="C1" s="1429" t="str">
        <f>TCOS!$F$3</f>
        <v>AEPTCo subsidiaries in PJM</v>
      </c>
      <c r="D1" s="1429" t="str">
        <f>TCOS!$F$3</f>
        <v>AEPTCo subsidiaries in PJM</v>
      </c>
      <c r="E1" s="1429" t="str">
        <f>TCOS!$F$3</f>
        <v>AEPTCo subsidiaries in PJM</v>
      </c>
    </row>
    <row r="2" spans="2:5" ht="15">
      <c r="B2" s="1422" t="str">
        <f>"Cost of Service Formula Rate Using Actual/Projected FF1 Balances"</f>
        <v>Cost of Service Formula Rate Using Actual/Projected FF1 Balances</v>
      </c>
      <c r="C2" s="1422"/>
      <c r="D2" s="1422"/>
      <c r="E2" s="1422"/>
    </row>
    <row r="3" spans="2:5" ht="15">
      <c r="B3" s="1429" t="s">
        <v>602</v>
      </c>
      <c r="C3" s="1429"/>
      <c r="D3" s="1429"/>
      <c r="E3" s="1429"/>
    </row>
    <row r="4" spans="2:5" ht="15">
      <c r="B4" s="1432" t="str">
        <f>+TCOS!F7</f>
        <v>AEP WEST VIRGINIA TRANSMISSION COMPANY</v>
      </c>
      <c r="C4" s="1429"/>
      <c r="D4" s="1429"/>
      <c r="E4" s="1429"/>
    </row>
    <row r="6" spans="2:4" ht="18.75" customHeight="1">
      <c r="B6" s="8" t="s">
        <v>417</v>
      </c>
      <c r="C6" s="75"/>
      <c r="D6" s="90"/>
    </row>
    <row r="7" spans="2:4" ht="12.75">
      <c r="B7" s="89"/>
      <c r="C7" s="75"/>
      <c r="D7" s="90"/>
    </row>
    <row r="8" ht="12.75">
      <c r="B8" s="91" t="s">
        <v>565</v>
      </c>
    </row>
  </sheetData>
  <sheetProtection/>
  <mergeCells count="4">
    <mergeCell ref="B4:E4"/>
    <mergeCell ref="B1:E1"/>
    <mergeCell ref="B2:E2"/>
    <mergeCell ref="B3:E3"/>
  </mergeCells>
  <printOptions/>
  <pageMargins left="0.61" right="1" top="1.22" bottom="1" header="0.87" footer="0.5"/>
  <pageSetup fitToHeight="1" fitToWidth="1" horizontalDpi="600" verticalDpi="600" orientation="portrait" scale="72"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76"/>
  <sheetViews>
    <sheetView zoomScale="90" zoomScaleNormal="90" zoomScaleSheetLayoutView="70" workbookViewId="0" topLeftCell="A1">
      <selection activeCell="A1" sqref="A1:G1"/>
    </sheetView>
  </sheetViews>
  <sheetFormatPr defaultColWidth="11.421875" defaultRowHeight="12.75"/>
  <cols>
    <col min="1" max="1" width="10.28125" style="1182" customWidth="1"/>
    <col min="2" max="2" width="52.28125" style="1155" customWidth="1"/>
    <col min="3" max="7" width="20.28125" style="1155" customWidth="1"/>
    <col min="8" max="8" width="23.00390625" style="1155" customWidth="1"/>
    <col min="9" max="11" width="20.28125" style="1155" customWidth="1"/>
    <col min="12" max="12" width="20.00390625" style="1155" customWidth="1"/>
    <col min="13" max="14" width="15.140625" style="1155" customWidth="1"/>
    <col min="15" max="16384" width="11.421875" style="1155" customWidth="1"/>
  </cols>
  <sheetData>
    <row r="1" spans="1:8" ht="15">
      <c r="A1" s="1483" t="str">
        <f>TCOS!F3</f>
        <v>AEPTCo subsidiaries in PJM</v>
      </c>
      <c r="B1" s="1483" t="str">
        <f>'[4]TCOS'!$F$3</f>
        <v>AEPTCo subsidiaries in PJM</v>
      </c>
      <c r="C1" s="1483" t="str">
        <f>'[4]TCOS'!$F$3</f>
        <v>AEPTCo subsidiaries in PJM</v>
      </c>
      <c r="D1" s="1483" t="str">
        <f>'[4]TCOS'!$F$3</f>
        <v>AEPTCo subsidiaries in PJM</v>
      </c>
      <c r="E1" s="1483" t="str">
        <f>'[4]TCOS'!$F$3</f>
        <v>AEPTCo subsidiaries in PJM</v>
      </c>
      <c r="F1" s="1483" t="str">
        <f>'[4]TCOS'!$F$3</f>
        <v>AEPTCo subsidiaries in PJM</v>
      </c>
      <c r="G1" s="1483" t="str">
        <f>'[4]TCOS'!$F$3</f>
        <v>AEPTCo subsidiaries in PJM</v>
      </c>
      <c r="H1" s="1154"/>
    </row>
    <row r="2" spans="1:12" ht="15">
      <c r="A2" s="1422" t="str">
        <f>"Cost of Service Formula Rate Using Actual/Projected FF1 Balances"</f>
        <v>Cost of Service Formula Rate Using Actual/Projected FF1 Balances</v>
      </c>
      <c r="B2" s="1422"/>
      <c r="C2" s="1422"/>
      <c r="D2" s="1422"/>
      <c r="E2" s="1422"/>
      <c r="F2" s="1422"/>
      <c r="G2" s="1422"/>
      <c r="H2" s="1156"/>
      <c r="I2" s="1156"/>
      <c r="J2" s="1156"/>
      <c r="L2" s="1157"/>
    </row>
    <row r="3" spans="1:10" ht="15">
      <c r="A3" s="1422" t="s">
        <v>745</v>
      </c>
      <c r="B3" s="1422"/>
      <c r="C3" s="1422"/>
      <c r="D3" s="1422"/>
      <c r="E3" s="1422"/>
      <c r="F3" s="1422"/>
      <c r="G3" s="1422"/>
      <c r="H3" s="1156"/>
      <c r="I3" s="1156"/>
      <c r="J3" s="1156"/>
    </row>
    <row r="4" spans="1:10" ht="15">
      <c r="A4" s="1428" t="str">
        <f>TCOS!F7</f>
        <v>AEP WEST VIRGINIA TRANSMISSION COMPANY</v>
      </c>
      <c r="B4" s="1428"/>
      <c r="C4" s="1428"/>
      <c r="D4" s="1428"/>
      <c r="E4" s="1428"/>
      <c r="F4" s="1428"/>
      <c r="G4" s="1428"/>
      <c r="H4" s="1156"/>
      <c r="I4" s="1156"/>
      <c r="J4" s="1156"/>
    </row>
    <row r="5" spans="1:12" ht="12.75">
      <c r="A5" s="1156"/>
      <c r="B5" s="1158"/>
      <c r="C5" s="1158"/>
      <c r="D5" s="1158"/>
      <c r="E5" s="1159"/>
      <c r="F5" s="1160"/>
      <c r="H5" s="1006"/>
      <c r="I5" s="1006"/>
      <c r="J5" s="1006"/>
      <c r="K5" s="1006"/>
      <c r="L5" s="1006"/>
    </row>
    <row r="6" spans="1:12" ht="12.75" customHeight="1">
      <c r="A6" s="1154"/>
      <c r="B6" s="1067"/>
      <c r="C6" s="1423" t="s">
        <v>340</v>
      </c>
      <c r="D6" s="1424"/>
      <c r="E6" s="1424"/>
      <c r="F6" s="1424"/>
      <c r="G6" s="1425"/>
      <c r="H6" s="1161"/>
      <c r="I6" s="1006"/>
      <c r="J6" s="1006"/>
      <c r="K6" s="1006"/>
      <c r="L6" s="1006"/>
    </row>
    <row r="7" spans="1:12" s="1164" customFormat="1" ht="38.25">
      <c r="A7" s="1162" t="s">
        <v>714</v>
      </c>
      <c r="B7" s="1072" t="s">
        <v>715</v>
      </c>
      <c r="C7" s="1105" t="s">
        <v>746</v>
      </c>
      <c r="D7" s="1073" t="s">
        <v>172</v>
      </c>
      <c r="E7" s="1073" t="s">
        <v>747</v>
      </c>
      <c r="F7" s="1073" t="s">
        <v>748</v>
      </c>
      <c r="G7" s="1163" t="s">
        <v>340</v>
      </c>
      <c r="H7" s="1161"/>
      <c r="I7" s="1006"/>
      <c r="J7" s="1006"/>
      <c r="K7" s="1006"/>
      <c r="L7" s="1006"/>
    </row>
    <row r="8" spans="1:12" s="1167" customFormat="1" ht="12.75">
      <c r="A8" s="1165"/>
      <c r="B8" s="1077" t="s">
        <v>719</v>
      </c>
      <c r="C8" s="1106" t="s">
        <v>736</v>
      </c>
      <c r="D8" s="1078" t="s">
        <v>737</v>
      </c>
      <c r="E8" s="1078" t="s">
        <v>720</v>
      </c>
      <c r="F8" s="1078" t="s">
        <v>721</v>
      </c>
      <c r="G8" s="1166" t="s">
        <v>749</v>
      </c>
      <c r="H8" s="1161"/>
      <c r="I8" s="1006"/>
      <c r="J8" s="1006"/>
      <c r="K8" s="1006"/>
      <c r="L8" s="1006"/>
    </row>
    <row r="9" spans="1:12" s="1167" customFormat="1" ht="44.25" customHeight="1">
      <c r="A9" s="1165"/>
      <c r="B9" s="1077" t="s">
        <v>725</v>
      </c>
      <c r="C9" s="1168" t="s">
        <v>750</v>
      </c>
      <c r="D9" s="1081" t="s">
        <v>751</v>
      </c>
      <c r="E9" s="1081" t="s">
        <v>752</v>
      </c>
      <c r="F9" s="1081" t="s">
        <v>753</v>
      </c>
      <c r="G9" s="1169"/>
      <c r="H9" s="1161"/>
      <c r="I9" s="1006"/>
      <c r="J9" s="1006"/>
      <c r="K9" s="1006"/>
      <c r="L9" s="1006"/>
    </row>
    <row r="10" spans="1:12" ht="12.75">
      <c r="A10" s="1165">
        <v>1</v>
      </c>
      <c r="B10" s="1083" t="s">
        <v>726</v>
      </c>
      <c r="C10" s="1170">
        <v>272845406</v>
      </c>
      <c r="D10" s="1170">
        <v>0</v>
      </c>
      <c r="E10" s="1170">
        <v>0</v>
      </c>
      <c r="F10" s="1170">
        <v>0</v>
      </c>
      <c r="G10" s="1171">
        <f>+C10-D10-E10-F10</f>
        <v>272845406</v>
      </c>
      <c r="H10" s="1161"/>
      <c r="I10" s="1006"/>
      <c r="J10" s="1006"/>
      <c r="K10" s="1006"/>
      <c r="L10" s="1006"/>
    </row>
    <row r="11" spans="1:12" ht="12.75">
      <c r="A11" s="1165">
        <f>+A10+1</f>
        <v>2</v>
      </c>
      <c r="B11" s="1083" t="s">
        <v>579</v>
      </c>
      <c r="C11" s="1269"/>
      <c r="D11" s="1269"/>
      <c r="E11" s="1269"/>
      <c r="F11" s="1269"/>
      <c r="G11" s="1270">
        <f aca="true" t="shared" si="0" ref="G11:G22">+C11-D11-E11-F11</f>
        <v>0</v>
      </c>
      <c r="H11" s="1161"/>
      <c r="I11" s="1006"/>
      <c r="J11" s="1006"/>
      <c r="K11" s="1006"/>
      <c r="L11" s="1006"/>
    </row>
    <row r="12" spans="1:12" ht="12.75">
      <c r="A12" s="1165">
        <f aca="true" t="shared" si="1" ref="A12:A23">+A11+1</f>
        <v>3</v>
      </c>
      <c r="B12" s="1087" t="s">
        <v>580</v>
      </c>
      <c r="C12" s="1269"/>
      <c r="D12" s="1269"/>
      <c r="E12" s="1269"/>
      <c r="F12" s="1269"/>
      <c r="G12" s="1270">
        <f t="shared" si="0"/>
        <v>0</v>
      </c>
      <c r="H12" s="1161"/>
      <c r="I12" s="1006"/>
      <c r="J12" s="1006"/>
      <c r="K12" s="1006"/>
      <c r="L12" s="1006"/>
    </row>
    <row r="13" spans="1:12" ht="12.75">
      <c r="A13" s="1165">
        <f t="shared" si="1"/>
        <v>4</v>
      </c>
      <c r="B13" s="1087" t="s">
        <v>727</v>
      </c>
      <c r="C13" s="1269"/>
      <c r="D13" s="1269"/>
      <c r="E13" s="1269"/>
      <c r="F13" s="1269"/>
      <c r="G13" s="1270">
        <f t="shared" si="0"/>
        <v>0</v>
      </c>
      <c r="H13" s="1161"/>
      <c r="I13" s="1006"/>
      <c r="J13" s="1006"/>
      <c r="K13" s="1006"/>
      <c r="L13" s="1006"/>
    </row>
    <row r="14" spans="1:12" ht="12.75">
      <c r="A14" s="1165">
        <f t="shared" si="1"/>
        <v>5</v>
      </c>
      <c r="B14" s="1087" t="s">
        <v>582</v>
      </c>
      <c r="C14" s="1269"/>
      <c r="D14" s="1269"/>
      <c r="E14" s="1269"/>
      <c r="F14" s="1269"/>
      <c r="G14" s="1270">
        <f t="shared" si="0"/>
        <v>0</v>
      </c>
      <c r="H14" s="1161"/>
      <c r="I14" s="1006"/>
      <c r="J14" s="1006"/>
      <c r="K14" s="1006"/>
      <c r="L14" s="1006"/>
    </row>
    <row r="15" spans="1:12" ht="12.75">
      <c r="A15" s="1165">
        <f t="shared" si="1"/>
        <v>6</v>
      </c>
      <c r="B15" s="1087" t="s">
        <v>583</v>
      </c>
      <c r="C15" s="1269"/>
      <c r="D15" s="1269"/>
      <c r="E15" s="1269"/>
      <c r="F15" s="1269"/>
      <c r="G15" s="1270">
        <f t="shared" si="0"/>
        <v>0</v>
      </c>
      <c r="H15" s="1161"/>
      <c r="I15" s="1006"/>
      <c r="J15" s="1006"/>
      <c r="K15" s="1006"/>
      <c r="L15" s="1006"/>
    </row>
    <row r="16" spans="1:12" ht="12.75">
      <c r="A16" s="1165">
        <f t="shared" si="1"/>
        <v>7</v>
      </c>
      <c r="B16" s="1087" t="s">
        <v>584</v>
      </c>
      <c r="C16" s="1269"/>
      <c r="D16" s="1269"/>
      <c r="E16" s="1269"/>
      <c r="F16" s="1269"/>
      <c r="G16" s="1270">
        <f t="shared" si="0"/>
        <v>0</v>
      </c>
      <c r="H16" s="1161"/>
      <c r="I16" s="1006"/>
      <c r="J16" s="1006"/>
      <c r="K16" s="1006"/>
      <c r="L16" s="1006"/>
    </row>
    <row r="17" spans="1:12" ht="12.75">
      <c r="A17" s="1165">
        <f t="shared" si="1"/>
        <v>8</v>
      </c>
      <c r="B17" s="1087" t="s">
        <v>585</v>
      </c>
      <c r="C17" s="1269"/>
      <c r="D17" s="1269"/>
      <c r="E17" s="1269"/>
      <c r="F17" s="1269"/>
      <c r="G17" s="1270">
        <f t="shared" si="0"/>
        <v>0</v>
      </c>
      <c r="H17" s="1161"/>
      <c r="I17" s="1006"/>
      <c r="J17" s="1006"/>
      <c r="K17" s="1006"/>
      <c r="L17" s="1006"/>
    </row>
    <row r="18" spans="1:12" ht="12.75">
      <c r="A18" s="1165">
        <f t="shared" si="1"/>
        <v>9</v>
      </c>
      <c r="B18" s="1087" t="s">
        <v>728</v>
      </c>
      <c r="C18" s="1269"/>
      <c r="D18" s="1269"/>
      <c r="E18" s="1269"/>
      <c r="F18" s="1269"/>
      <c r="G18" s="1270">
        <f t="shared" si="0"/>
        <v>0</v>
      </c>
      <c r="H18" s="1161"/>
      <c r="I18" s="1006"/>
      <c r="J18" s="1006"/>
      <c r="K18" s="1006"/>
      <c r="L18" s="1006"/>
    </row>
    <row r="19" spans="1:12" ht="12.75">
      <c r="A19" s="1165">
        <f t="shared" si="1"/>
        <v>10</v>
      </c>
      <c r="B19" s="1087" t="s">
        <v>587</v>
      </c>
      <c r="C19" s="1269"/>
      <c r="D19" s="1269"/>
      <c r="E19" s="1269"/>
      <c r="F19" s="1269"/>
      <c r="G19" s="1270">
        <f t="shared" si="0"/>
        <v>0</v>
      </c>
      <c r="H19" s="1161"/>
      <c r="I19" s="1006"/>
      <c r="J19" s="1006"/>
      <c r="K19" s="1006"/>
      <c r="L19" s="1006"/>
    </row>
    <row r="20" spans="1:12" ht="12.75">
      <c r="A20" s="1165">
        <f t="shared" si="1"/>
        <v>11</v>
      </c>
      <c r="B20" s="1087" t="s">
        <v>588</v>
      </c>
      <c r="C20" s="1269"/>
      <c r="D20" s="1269"/>
      <c r="E20" s="1269"/>
      <c r="F20" s="1269"/>
      <c r="G20" s="1270">
        <f t="shared" si="0"/>
        <v>0</v>
      </c>
      <c r="H20" s="1161"/>
      <c r="I20" s="1006"/>
      <c r="J20" s="1006"/>
      <c r="K20" s="1006"/>
      <c r="L20" s="1006"/>
    </row>
    <row r="21" spans="1:12" ht="12.75">
      <c r="A21" s="1165">
        <f t="shared" si="1"/>
        <v>12</v>
      </c>
      <c r="B21" s="1087" t="s">
        <v>589</v>
      </c>
      <c r="C21" s="1269"/>
      <c r="D21" s="1269"/>
      <c r="E21" s="1269"/>
      <c r="F21" s="1269"/>
      <c r="G21" s="1270">
        <f t="shared" si="0"/>
        <v>0</v>
      </c>
      <c r="H21" s="1161"/>
      <c r="I21" s="1006"/>
      <c r="J21" s="1006"/>
      <c r="K21" s="1006"/>
      <c r="L21" s="1006"/>
    </row>
    <row r="22" spans="1:12" ht="12.75">
      <c r="A22" s="1172">
        <f t="shared" si="1"/>
        <v>13</v>
      </c>
      <c r="B22" s="1089" t="s">
        <v>729</v>
      </c>
      <c r="C22" s="1170">
        <v>401828493</v>
      </c>
      <c r="D22" s="1170">
        <v>0</v>
      </c>
      <c r="E22" s="1170">
        <v>0</v>
      </c>
      <c r="F22" s="1170">
        <v>0</v>
      </c>
      <c r="G22" s="1171">
        <f t="shared" si="0"/>
        <v>401828493</v>
      </c>
      <c r="H22" s="1161"/>
      <c r="I22" s="1006"/>
      <c r="J22" s="1006"/>
      <c r="K22" s="1006"/>
      <c r="L22" s="1006"/>
    </row>
    <row r="23" spans="1:12" ht="13.5" thickBot="1">
      <c r="A23" s="1172">
        <f t="shared" si="1"/>
        <v>14</v>
      </c>
      <c r="B23" s="1090" t="s">
        <v>815</v>
      </c>
      <c r="C23" s="1116">
        <f>(C10+C22)/2</f>
        <v>337336949.5</v>
      </c>
      <c r="D23" s="1091">
        <f>(D10+D22)/2</f>
        <v>0</v>
      </c>
      <c r="E23" s="1091">
        <f>(E10+E22)/2</f>
        <v>0</v>
      </c>
      <c r="F23" s="1091">
        <f>(F10+F22)/2</f>
        <v>0</v>
      </c>
      <c r="G23" s="1173">
        <f>(G10+G22)/2</f>
        <v>337336949.5</v>
      </c>
      <c r="H23" s="1161"/>
      <c r="I23" s="1006"/>
      <c r="J23" s="1006"/>
      <c r="K23" s="1006"/>
      <c r="L23" s="1006"/>
    </row>
    <row r="24" spans="1:12" ht="13.5" thickTop="1">
      <c r="A24" s="1154"/>
      <c r="B24" s="1093"/>
      <c r="C24" s="1094"/>
      <c r="D24" s="1095"/>
      <c r="E24" s="1095"/>
      <c r="F24" s="1095"/>
      <c r="G24" s="1094"/>
      <c r="H24" s="1094"/>
      <c r="I24" s="1006"/>
      <c r="J24" s="1006"/>
      <c r="K24" s="1006"/>
      <c r="L24" s="1006"/>
    </row>
    <row r="25" spans="1:12" ht="12.75" customHeight="1">
      <c r="A25" s="1154"/>
      <c r="B25" s="1067"/>
      <c r="C25" s="1484" t="s">
        <v>543</v>
      </c>
      <c r="D25" s="1485"/>
      <c r="E25" s="1485"/>
      <c r="F25" s="1485"/>
      <c r="G25" s="1485"/>
      <c r="H25" s="1486"/>
      <c r="I25" s="1006"/>
      <c r="J25" s="1006"/>
      <c r="K25" s="1006"/>
      <c r="L25" s="1006"/>
    </row>
    <row r="26" spans="1:12" s="1164" customFormat="1" ht="38.25">
      <c r="A26" s="1162" t="s">
        <v>714</v>
      </c>
      <c r="B26" s="1072" t="s">
        <v>715</v>
      </c>
      <c r="C26" s="1105" t="s">
        <v>754</v>
      </c>
      <c r="D26" s="1073" t="s">
        <v>755</v>
      </c>
      <c r="E26" s="1073" t="s">
        <v>769</v>
      </c>
      <c r="F26" s="1073" t="s">
        <v>770</v>
      </c>
      <c r="G26" s="1073" t="s">
        <v>756</v>
      </c>
      <c r="H26" s="1163" t="s">
        <v>768</v>
      </c>
      <c r="I26" s="1006"/>
      <c r="J26" s="1006"/>
      <c r="K26" s="1006"/>
      <c r="L26" s="1006"/>
    </row>
    <row r="27" spans="1:12" s="1167" customFormat="1" ht="12.75">
      <c r="A27" s="1165"/>
      <c r="B27" s="1077" t="s">
        <v>719</v>
      </c>
      <c r="C27" s="1106" t="s">
        <v>736</v>
      </c>
      <c r="D27" s="1078" t="s">
        <v>737</v>
      </c>
      <c r="E27" s="1078" t="s">
        <v>720</v>
      </c>
      <c r="F27" s="1078" t="s">
        <v>721</v>
      </c>
      <c r="G27" s="1078" t="s">
        <v>757</v>
      </c>
      <c r="H27" s="1166" t="s">
        <v>758</v>
      </c>
      <c r="I27" s="1006"/>
      <c r="J27" s="1006"/>
      <c r="K27" s="1006"/>
      <c r="L27" s="1006"/>
    </row>
    <row r="28" spans="1:12" s="1167" customFormat="1" ht="44.25" customHeight="1">
      <c r="A28" s="1165"/>
      <c r="B28" s="1077" t="s">
        <v>725</v>
      </c>
      <c r="C28" s="1168" t="s">
        <v>759</v>
      </c>
      <c r="D28" s="1081" t="s">
        <v>760</v>
      </c>
      <c r="E28" s="1081" t="s">
        <v>761</v>
      </c>
      <c r="F28" s="1081" t="s">
        <v>762</v>
      </c>
      <c r="G28" s="1081" t="s">
        <v>763</v>
      </c>
      <c r="H28" s="1174"/>
      <c r="I28" s="1006"/>
      <c r="J28" s="1006"/>
      <c r="K28" s="1006"/>
      <c r="L28" s="1006"/>
    </row>
    <row r="29" spans="1:12" ht="12.75">
      <c r="A29" s="1165">
        <f>+A23+1</f>
        <v>15</v>
      </c>
      <c r="B29" s="1083" t="s">
        <v>726</v>
      </c>
      <c r="C29" s="1170">
        <v>0</v>
      </c>
      <c r="D29" s="1170">
        <v>0</v>
      </c>
      <c r="E29" s="1170">
        <v>263000000</v>
      </c>
      <c r="F29" s="1170">
        <v>0</v>
      </c>
      <c r="G29" s="1170">
        <v>0</v>
      </c>
      <c r="H29" s="1171">
        <f>+C29-D29+E29+F29-G29</f>
        <v>263000000</v>
      </c>
      <c r="I29" s="1006"/>
      <c r="J29" s="1006"/>
      <c r="K29" s="1006"/>
      <c r="L29" s="1006"/>
    </row>
    <row r="30" spans="1:12" ht="12.75">
      <c r="A30" s="1165">
        <f>+A29+1</f>
        <v>16</v>
      </c>
      <c r="B30" s="1083" t="s">
        <v>579</v>
      </c>
      <c r="C30" s="1269"/>
      <c r="D30" s="1269"/>
      <c r="E30" s="1271"/>
      <c r="F30" s="1269"/>
      <c r="G30" s="1269"/>
      <c r="H30" s="1270">
        <f aca="true" t="shared" si="2" ref="H30:H41">+C30-D30+E30+F30-G30</f>
        <v>0</v>
      </c>
      <c r="I30" s="1006"/>
      <c r="J30" s="1006"/>
      <c r="K30" s="1006"/>
      <c r="L30" s="1006"/>
    </row>
    <row r="31" spans="1:12" ht="12.75">
      <c r="A31" s="1165">
        <f aca="true" t="shared" si="3" ref="A31:A42">+A30+1</f>
        <v>17</v>
      </c>
      <c r="B31" s="1087" t="s">
        <v>580</v>
      </c>
      <c r="C31" s="1269"/>
      <c r="D31" s="1269"/>
      <c r="E31" s="1271"/>
      <c r="F31" s="1269"/>
      <c r="G31" s="1269"/>
      <c r="H31" s="1270">
        <f t="shared" si="2"/>
        <v>0</v>
      </c>
      <c r="I31" s="1006"/>
      <c r="J31" s="1006"/>
      <c r="K31" s="1006"/>
      <c r="L31" s="1006"/>
    </row>
    <row r="32" spans="1:12" ht="12.75">
      <c r="A32" s="1165">
        <f t="shared" si="3"/>
        <v>18</v>
      </c>
      <c r="B32" s="1087" t="s">
        <v>727</v>
      </c>
      <c r="C32" s="1269"/>
      <c r="D32" s="1269"/>
      <c r="E32" s="1271"/>
      <c r="F32" s="1269"/>
      <c r="G32" s="1269"/>
      <c r="H32" s="1270">
        <f t="shared" si="2"/>
        <v>0</v>
      </c>
      <c r="I32" s="1006"/>
      <c r="J32" s="1006"/>
      <c r="K32" s="1006"/>
      <c r="L32" s="1006"/>
    </row>
    <row r="33" spans="1:12" ht="12.75">
      <c r="A33" s="1165">
        <f t="shared" si="3"/>
        <v>19</v>
      </c>
      <c r="B33" s="1087" t="s">
        <v>582</v>
      </c>
      <c r="C33" s="1269"/>
      <c r="D33" s="1269"/>
      <c r="E33" s="1271"/>
      <c r="F33" s="1269"/>
      <c r="G33" s="1269"/>
      <c r="H33" s="1270">
        <f t="shared" si="2"/>
        <v>0</v>
      </c>
      <c r="I33" s="1006"/>
      <c r="J33" s="1006"/>
      <c r="K33" s="1006"/>
      <c r="L33" s="1006"/>
    </row>
    <row r="34" spans="1:12" ht="12.75">
      <c r="A34" s="1165">
        <f t="shared" si="3"/>
        <v>20</v>
      </c>
      <c r="B34" s="1087" t="s">
        <v>583</v>
      </c>
      <c r="C34" s="1269"/>
      <c r="D34" s="1269"/>
      <c r="E34" s="1271"/>
      <c r="F34" s="1269"/>
      <c r="G34" s="1269"/>
      <c r="H34" s="1270">
        <f>+C34-D34+E34+F34-G34</f>
        <v>0</v>
      </c>
      <c r="I34" s="1006"/>
      <c r="J34" s="1006"/>
      <c r="K34" s="1006"/>
      <c r="L34" s="1006"/>
    </row>
    <row r="35" spans="1:12" ht="12.75">
      <c r="A35" s="1165">
        <f t="shared" si="3"/>
        <v>21</v>
      </c>
      <c r="B35" s="1087" t="s">
        <v>584</v>
      </c>
      <c r="C35" s="1269"/>
      <c r="D35" s="1269"/>
      <c r="E35" s="1271"/>
      <c r="F35" s="1269"/>
      <c r="G35" s="1269"/>
      <c r="H35" s="1270">
        <f t="shared" si="2"/>
        <v>0</v>
      </c>
      <c r="I35" s="1006"/>
      <c r="J35" s="1006"/>
      <c r="K35" s="1006"/>
      <c r="L35" s="1006"/>
    </row>
    <row r="36" spans="1:12" ht="12.75">
      <c r="A36" s="1165">
        <f t="shared" si="3"/>
        <v>22</v>
      </c>
      <c r="B36" s="1087" t="s">
        <v>585</v>
      </c>
      <c r="C36" s="1269"/>
      <c r="D36" s="1269"/>
      <c r="E36" s="1271"/>
      <c r="F36" s="1269"/>
      <c r="G36" s="1269"/>
      <c r="H36" s="1270">
        <f t="shared" si="2"/>
        <v>0</v>
      </c>
      <c r="I36" s="1006"/>
      <c r="J36" s="1006"/>
      <c r="K36" s="1006"/>
      <c r="L36" s="1006"/>
    </row>
    <row r="37" spans="1:12" ht="12.75">
      <c r="A37" s="1165">
        <f t="shared" si="3"/>
        <v>23</v>
      </c>
      <c r="B37" s="1087" t="s">
        <v>728</v>
      </c>
      <c r="C37" s="1269"/>
      <c r="D37" s="1269"/>
      <c r="E37" s="1271"/>
      <c r="F37" s="1269"/>
      <c r="G37" s="1269"/>
      <c r="H37" s="1270">
        <f t="shared" si="2"/>
        <v>0</v>
      </c>
      <c r="I37" s="1006"/>
      <c r="J37" s="1006"/>
      <c r="K37" s="1006"/>
      <c r="L37" s="1006"/>
    </row>
    <row r="38" spans="1:12" ht="12.75">
      <c r="A38" s="1165">
        <f t="shared" si="3"/>
        <v>24</v>
      </c>
      <c r="B38" s="1087" t="s">
        <v>587</v>
      </c>
      <c r="C38" s="1269"/>
      <c r="D38" s="1269"/>
      <c r="E38" s="1271"/>
      <c r="F38" s="1269"/>
      <c r="G38" s="1269"/>
      <c r="H38" s="1270">
        <f t="shared" si="2"/>
        <v>0</v>
      </c>
      <c r="I38" s="1006"/>
      <c r="J38" s="1006"/>
      <c r="K38" s="1006"/>
      <c r="L38" s="1006"/>
    </row>
    <row r="39" spans="1:12" ht="12.75">
      <c r="A39" s="1165">
        <f t="shared" si="3"/>
        <v>25</v>
      </c>
      <c r="B39" s="1087" t="s">
        <v>588</v>
      </c>
      <c r="C39" s="1269"/>
      <c r="D39" s="1269"/>
      <c r="E39" s="1271"/>
      <c r="F39" s="1269"/>
      <c r="G39" s="1269"/>
      <c r="H39" s="1270">
        <f t="shared" si="2"/>
        <v>0</v>
      </c>
      <c r="I39" s="1006"/>
      <c r="J39" s="1006"/>
      <c r="K39" s="1006"/>
      <c r="L39" s="1006"/>
    </row>
    <row r="40" spans="1:12" ht="12.75">
      <c r="A40" s="1165">
        <f t="shared" si="3"/>
        <v>26</v>
      </c>
      <c r="B40" s="1087" t="s">
        <v>589</v>
      </c>
      <c r="C40" s="1269"/>
      <c r="D40" s="1269"/>
      <c r="E40" s="1271"/>
      <c r="F40" s="1269"/>
      <c r="G40" s="1269"/>
      <c r="H40" s="1270">
        <f t="shared" si="2"/>
        <v>0</v>
      </c>
      <c r="I40" s="1006"/>
      <c r="J40" s="1006"/>
      <c r="K40" s="1006"/>
      <c r="L40" s="1006"/>
    </row>
    <row r="41" spans="1:12" ht="12.75">
      <c r="A41" s="1172">
        <f t="shared" si="3"/>
        <v>27</v>
      </c>
      <c r="B41" s="1089" t="s">
        <v>729</v>
      </c>
      <c r="C41" s="1170">
        <v>0</v>
      </c>
      <c r="D41" s="1170">
        <v>0</v>
      </c>
      <c r="E41" s="1175">
        <v>400000000</v>
      </c>
      <c r="F41" s="1170">
        <v>0</v>
      </c>
      <c r="G41" s="1170">
        <v>0</v>
      </c>
      <c r="H41" s="1171">
        <f t="shared" si="2"/>
        <v>400000000</v>
      </c>
      <c r="I41" s="1006"/>
      <c r="J41" s="1006"/>
      <c r="K41" s="1006"/>
      <c r="L41" s="1006"/>
    </row>
    <row r="42" spans="1:12" ht="13.5" thickBot="1">
      <c r="A42" s="1176">
        <f t="shared" si="3"/>
        <v>28</v>
      </c>
      <c r="B42" s="1099" t="s">
        <v>816</v>
      </c>
      <c r="C42" s="1116">
        <f aca="true" t="shared" si="4" ref="C42:H42">(C29+C41)/2</f>
        <v>0</v>
      </c>
      <c r="D42" s="1091">
        <f t="shared" si="4"/>
        <v>0</v>
      </c>
      <c r="E42" s="1091">
        <f t="shared" si="4"/>
        <v>331500000</v>
      </c>
      <c r="F42" s="1091">
        <f t="shared" si="4"/>
        <v>0</v>
      </c>
      <c r="G42" s="1091">
        <f t="shared" si="4"/>
        <v>0</v>
      </c>
      <c r="H42" s="1173">
        <f t="shared" si="4"/>
        <v>331500000</v>
      </c>
      <c r="I42" s="1006"/>
      <c r="J42" s="1006"/>
      <c r="K42" s="1006"/>
      <c r="L42" s="1006"/>
    </row>
    <row r="43" spans="1:12" ht="13.5" thickTop="1">
      <c r="A43" s="1156"/>
      <c r="B43" s="1177"/>
      <c r="C43" s="1178"/>
      <c r="D43" s="1179"/>
      <c r="E43" s="1179"/>
      <c r="F43" s="1179"/>
      <c r="G43" s="1178"/>
      <c r="H43" s="1178"/>
      <c r="I43" s="1006"/>
      <c r="J43" s="1006"/>
      <c r="K43" s="1006"/>
      <c r="L43" s="1006"/>
    </row>
    <row r="44" spans="1:11" ht="12.75" customHeight="1">
      <c r="A44" s="1180" t="s">
        <v>764</v>
      </c>
      <c r="F44" s="1181"/>
      <c r="G44" s="1181"/>
      <c r="H44" s="1181"/>
      <c r="I44" s="1006"/>
      <c r="J44" s="1006"/>
      <c r="K44" s="1006"/>
    </row>
    <row r="45" spans="5:10" ht="12.75">
      <c r="E45" s="1181"/>
      <c r="F45" s="1181"/>
      <c r="G45" s="1181"/>
      <c r="H45" s="1181"/>
      <c r="J45" s="1177"/>
    </row>
    <row r="46" spans="1:8" ht="15">
      <c r="A46" s="1183" t="s">
        <v>341</v>
      </c>
      <c r="E46" s="1181"/>
      <c r="F46" s="1181"/>
      <c r="G46" s="1181"/>
      <c r="H46" s="1154"/>
    </row>
    <row r="47" spans="1:8" ht="15">
      <c r="A47" s="1183"/>
      <c r="B47" s="1184" t="s">
        <v>719</v>
      </c>
      <c r="C47" s="1184" t="s">
        <v>736</v>
      </c>
      <c r="D47" s="1185" t="s">
        <v>737</v>
      </c>
      <c r="E47" s="1184" t="s">
        <v>720</v>
      </c>
      <c r="F47" s="1185" t="s">
        <v>721</v>
      </c>
      <c r="G47" s="1184" t="s">
        <v>757</v>
      </c>
      <c r="H47" s="1184" t="s">
        <v>765</v>
      </c>
    </row>
    <row r="48" spans="1:12" ht="12.75">
      <c r="A48" s="711">
        <f>+A42+1</f>
        <v>29</v>
      </c>
      <c r="B48" s="1186" t="str">
        <f>"Annual Interest Expense for "&amp;TCOS!L2</f>
        <v>Annual Interest Expense for 2017</v>
      </c>
      <c r="C48" s="1187"/>
      <c r="D48" s="1188"/>
      <c r="E48" s="1189"/>
      <c r="F48" s="1189"/>
      <c r="G48" s="1189"/>
      <c r="H48" s="1189"/>
      <c r="I48" s="1189"/>
      <c r="J48" s="1189"/>
      <c r="K48" s="1189"/>
      <c r="L48" s="1189"/>
    </row>
    <row r="49" spans="1:12" ht="12.75">
      <c r="A49" s="711">
        <f>+A48+1</f>
        <v>30</v>
      </c>
      <c r="B49" s="1261" t="s">
        <v>784</v>
      </c>
      <c r="C49" s="1187"/>
      <c r="D49" s="1188"/>
      <c r="E49" s="1319">
        <v>11576650</v>
      </c>
      <c r="F49" s="1189"/>
      <c r="G49" s="1189"/>
      <c r="H49" s="1189"/>
      <c r="I49" s="1189"/>
      <c r="J49" s="1189"/>
      <c r="K49" s="1189"/>
      <c r="L49" s="1189"/>
    </row>
    <row r="50" spans="1:12" ht="28.5" customHeight="1">
      <c r="A50" s="711">
        <f aca="true" t="shared" si="5" ref="A50:A55">+A49+1</f>
        <v>31</v>
      </c>
      <c r="B50" s="1478" t="str">
        <f>"Less: Total Hedge Gain/Expense Accumulated from p 256-257, col. (i) of FERC Form 1  included in Ln "&amp;A49&amp;" and shown in "&amp;A68&amp;" below."</f>
        <v>Less: Total Hedge Gain/Expense Accumulated from p 256-257, col. (i) of FERC Form 1  included in Ln 30 and shown in 43 below.</v>
      </c>
      <c r="C50" s="1479"/>
      <c r="D50" s="1188"/>
      <c r="E50" s="1187">
        <f>+C68</f>
        <v>0</v>
      </c>
      <c r="F50" s="1189"/>
      <c r="G50" s="1189"/>
      <c r="H50" s="1189"/>
      <c r="I50" s="1189"/>
      <c r="J50" s="1189"/>
      <c r="K50" s="1189"/>
      <c r="L50" s="1189"/>
    </row>
    <row r="51" spans="1:10" ht="12.75">
      <c r="A51" s="711">
        <f t="shared" si="5"/>
        <v>32</v>
      </c>
      <c r="B51" s="1261" t="s">
        <v>785</v>
      </c>
      <c r="C51" s="1262"/>
      <c r="D51" s="1192"/>
      <c r="E51" s="1191">
        <v>0</v>
      </c>
      <c r="F51" s="1189"/>
      <c r="G51" s="1189"/>
      <c r="H51" s="1189"/>
      <c r="I51" s="1189"/>
      <c r="J51" s="1189"/>
    </row>
    <row r="52" spans="1:10" ht="12.75">
      <c r="A52" s="711">
        <f t="shared" si="5"/>
        <v>33</v>
      </c>
      <c r="B52" s="1261" t="s">
        <v>786</v>
      </c>
      <c r="C52" s="1193"/>
      <c r="D52" s="1188"/>
      <c r="E52" s="1191">
        <v>0</v>
      </c>
      <c r="F52" s="1189"/>
      <c r="G52" s="1189"/>
      <c r="H52" s="1189"/>
      <c r="I52" s="1189"/>
      <c r="J52" s="1189"/>
    </row>
    <row r="53" spans="1:10" ht="12.75">
      <c r="A53" s="711">
        <f t="shared" si="5"/>
        <v>34</v>
      </c>
      <c r="B53" s="1261" t="s">
        <v>787</v>
      </c>
      <c r="C53" s="1193"/>
      <c r="D53" s="1188"/>
      <c r="E53" s="1191">
        <v>0</v>
      </c>
      <c r="F53" s="1189"/>
      <c r="G53" s="1189"/>
      <c r="H53" s="1189"/>
      <c r="I53" s="1189"/>
      <c r="J53" s="1189"/>
    </row>
    <row r="54" spans="1:10" ht="13.5" thickBot="1">
      <c r="A54" s="711">
        <f t="shared" si="5"/>
        <v>35</v>
      </c>
      <c r="B54" s="1261" t="s">
        <v>788</v>
      </c>
      <c r="C54" s="1193"/>
      <c r="D54" s="1188"/>
      <c r="E54" s="1194">
        <v>0</v>
      </c>
      <c r="F54" s="1189"/>
      <c r="G54" s="1189"/>
      <c r="H54" s="1189"/>
      <c r="I54" s="1189"/>
      <c r="J54" s="1189"/>
    </row>
    <row r="55" spans="1:10" ht="12.75">
      <c r="A55" s="711">
        <f t="shared" si="5"/>
        <v>36</v>
      </c>
      <c r="B55" s="1186" t="str">
        <f>"Total Interest Expense (Ln "&amp;A49&amp;" - "&amp;A50&amp;" + "&amp;A51&amp;" + "&amp;A52&amp;" - "&amp;A53&amp;" - "&amp;A54&amp;")"</f>
        <v>Total Interest Expense (Ln 30 - 31 + 32 + 33 - 34 - 35)</v>
      </c>
      <c r="C55" s="1195"/>
      <c r="D55" s="1196"/>
      <c r="E55" s="1197">
        <f>+E49-E50+E51+E52-E53-E54</f>
        <v>11576650</v>
      </c>
      <c r="F55" s="1189"/>
      <c r="G55" s="1189"/>
      <c r="H55" s="1189"/>
      <c r="I55" s="1189"/>
      <c r="J55" s="1189"/>
    </row>
    <row r="56" spans="1:10" ht="13.5" thickBot="1">
      <c r="A56" s="711"/>
      <c r="B56" s="1190"/>
      <c r="C56" s="1193"/>
      <c r="D56" s="1188"/>
      <c r="E56" s="1198"/>
      <c r="F56" s="1189"/>
      <c r="G56" s="1189"/>
      <c r="H56" s="1189"/>
      <c r="I56" s="1189"/>
      <c r="J56" s="1189"/>
    </row>
    <row r="57" spans="1:10" ht="13.5" thickBot="1">
      <c r="A57" s="711">
        <f>+A55+1</f>
        <v>37</v>
      </c>
      <c r="B57" s="1186" t="str">
        <f>"Average Cost of Debt for "&amp;TCOS!L2&amp;" (Ln "&amp;A55&amp;"/ ln "&amp;A42&amp;" (g))"</f>
        <v>Average Cost of Debt for 2017 (Ln 36/ ln 28 (g))</v>
      </c>
      <c r="C57" s="1195"/>
      <c r="D57" s="1188"/>
      <c r="E57" s="1199">
        <f>+E55/H42</f>
        <v>0.03492202111613876</v>
      </c>
      <c r="F57" s="1189"/>
      <c r="G57" s="1189"/>
      <c r="H57" s="1189"/>
      <c r="I57" s="1189"/>
      <c r="J57" s="1189"/>
    </row>
    <row r="58" spans="1:10" ht="12.75">
      <c r="A58" s="1200"/>
      <c r="B58" s="1190"/>
      <c r="C58" s="1193"/>
      <c r="D58" s="1188"/>
      <c r="E58" s="1193"/>
      <c r="F58" s="1189"/>
      <c r="G58" s="1189"/>
      <c r="H58" s="1189"/>
      <c r="I58" s="1189"/>
      <c r="J58" s="1189"/>
    </row>
    <row r="59" spans="1:10" ht="16.5" customHeight="1">
      <c r="A59" s="1201"/>
      <c r="B59" s="1480" t="s">
        <v>766</v>
      </c>
      <c r="C59" s="1480"/>
      <c r="D59" s="1480"/>
      <c r="E59" s="1480"/>
      <c r="F59" s="1202"/>
      <c r="G59" s="1189"/>
      <c r="H59" s="1189"/>
      <c r="I59" s="1189"/>
      <c r="J59" s="1189"/>
    </row>
    <row r="60" spans="1:10" ht="21" customHeight="1">
      <c r="A60" s="1203">
        <f>+A57+1</f>
        <v>38</v>
      </c>
      <c r="B60" s="1481" t="str">
        <f>""&amp;A4&amp;" may not include costs (or gains) related to interest hedging activities."</f>
        <v>AEP WEST VIRGINIA TRANSMISSION COMPANY may not include costs (or gains) related to interest hedging activities.</v>
      </c>
      <c r="C60" s="1481"/>
      <c r="D60" s="1481"/>
      <c r="E60" s="1481"/>
      <c r="F60" s="1481"/>
      <c r="G60" s="1204"/>
      <c r="H60" s="1204"/>
      <c r="I60" s="1189"/>
      <c r="J60" s="1189"/>
    </row>
    <row r="61" spans="1:10" ht="12.75">
      <c r="A61" s="1205"/>
      <c r="B61" s="1206"/>
      <c r="C61" s="1206"/>
      <c r="D61" s="1206"/>
      <c r="E61" s="1482" t="s">
        <v>228</v>
      </c>
      <c r="F61" s="1482"/>
      <c r="G61" s="1006"/>
      <c r="H61" s="1006"/>
      <c r="I61" s="1189"/>
      <c r="J61" s="1189"/>
    </row>
    <row r="62" spans="1:10" ht="38.25">
      <c r="A62" s="711"/>
      <c r="B62" s="1208" t="s">
        <v>229</v>
      </c>
      <c r="C62" s="1208" t="str">
        <f>"(Amortization of (Gain)/Loss for "&amp;TCOS!L2</f>
        <v>(Amortization of (Gain)/Loss for 2017</v>
      </c>
      <c r="D62" s="1207" t="s">
        <v>230</v>
      </c>
      <c r="E62" s="1207" t="s">
        <v>87</v>
      </c>
      <c r="F62" s="1207" t="s">
        <v>89</v>
      </c>
      <c r="G62" s="1006"/>
      <c r="H62" s="1006"/>
      <c r="I62" s="1189"/>
      <c r="J62" s="1189"/>
    </row>
    <row r="63" spans="1:10" ht="12.75">
      <c r="A63" s="711">
        <f>+A60+1</f>
        <v>39</v>
      </c>
      <c r="B63" s="1209"/>
      <c r="C63" s="1175"/>
      <c r="D63" s="1209"/>
      <c r="E63" s="1209"/>
      <c r="F63" s="1210"/>
      <c r="G63" s="1006"/>
      <c r="H63" s="1006"/>
      <c r="I63" s="1192"/>
      <c r="J63" s="1192"/>
    </row>
    <row r="64" spans="1:10" ht="12.75">
      <c r="A64" s="711">
        <f>+A63+1</f>
        <v>40</v>
      </c>
      <c r="B64" s="1209"/>
      <c r="C64" s="1175"/>
      <c r="D64" s="1209"/>
      <c r="E64" s="1209"/>
      <c r="F64" s="1210"/>
      <c r="G64" s="1211"/>
      <c r="H64" s="1211"/>
      <c r="I64" s="1189"/>
      <c r="J64" s="1189"/>
    </row>
    <row r="65" spans="1:10" ht="12.75">
      <c r="A65" s="711">
        <f>+A64+1</f>
        <v>41</v>
      </c>
      <c r="B65" s="1209"/>
      <c r="C65" s="1175"/>
      <c r="D65" s="1212"/>
      <c r="E65" s="1212"/>
      <c r="F65" s="1210"/>
      <c r="G65" s="1211"/>
      <c r="H65" s="1211"/>
      <c r="I65" s="1189"/>
      <c r="J65" s="1189"/>
    </row>
    <row r="66" spans="1:10" ht="12.75">
      <c r="A66" s="711">
        <f>+A65+1</f>
        <v>42</v>
      </c>
      <c r="B66" s="1209"/>
      <c r="C66" s="1175"/>
      <c r="D66" s="1212"/>
      <c r="E66" s="1212"/>
      <c r="F66" s="1213"/>
      <c r="G66" s="1214"/>
      <c r="H66" s="1215"/>
      <c r="I66" s="1189"/>
      <c r="J66" s="1189"/>
    </row>
    <row r="67" spans="1:8" ht="12.75">
      <c r="A67" s="711"/>
      <c r="B67" s="1216"/>
      <c r="C67" s="1217"/>
      <c r="D67" s="1217"/>
      <c r="E67" s="1218"/>
      <c r="F67" s="1189"/>
      <c r="G67" s="1219"/>
      <c r="H67" s="1219"/>
    </row>
    <row r="68" spans="1:8" ht="12.75">
      <c r="A68" s="711">
        <f>+A66+1</f>
        <v>43</v>
      </c>
      <c r="B68" s="1220" t="s">
        <v>254</v>
      </c>
      <c r="C68" s="1198">
        <f>SUM(C63:C67)</f>
        <v>0</v>
      </c>
      <c r="D68" s="1198">
        <f>SUM(D63:D67)</f>
        <v>0</v>
      </c>
      <c r="E68" s="1198">
        <f>SUM(E63:E67)</f>
        <v>0</v>
      </c>
      <c r="F68" s="1221">
        <f>SUM(F63:F67)</f>
        <v>0</v>
      </c>
      <c r="G68" s="1189"/>
      <c r="H68" s="1189"/>
    </row>
    <row r="69" spans="1:8" ht="12.75">
      <c r="A69" s="711"/>
      <c r="B69" s="1190"/>
      <c r="C69" s="1198"/>
      <c r="D69" s="1198"/>
      <c r="E69" s="1198"/>
      <c r="F69" s="1189"/>
      <c r="G69" s="1189"/>
      <c r="H69" s="1189"/>
    </row>
    <row r="70" spans="1:8" ht="12.75">
      <c r="A70" s="711"/>
      <c r="B70" s="1186"/>
      <c r="C70" s="1193"/>
      <c r="D70" s="1188"/>
      <c r="E70" s="1222"/>
      <c r="F70" s="1189"/>
      <c r="G70" s="1189"/>
      <c r="H70" s="1189"/>
    </row>
    <row r="71" spans="1:8" ht="12.75">
      <c r="A71" s="711"/>
      <c r="B71" s="1186"/>
      <c r="C71" s="1193"/>
      <c r="D71" s="1188"/>
      <c r="E71" s="1222"/>
      <c r="F71" s="1189"/>
      <c r="G71" s="1189"/>
      <c r="H71" s="1189"/>
    </row>
    <row r="72" spans="1:8" ht="15">
      <c r="A72" s="1223" t="s">
        <v>346</v>
      </c>
      <c r="B72" s="1186"/>
      <c r="C72" s="1193"/>
      <c r="D72" s="1188"/>
      <c r="E72" s="1222"/>
      <c r="F72" s="1189"/>
      <c r="G72" s="1189"/>
      <c r="H72" s="1189"/>
    </row>
    <row r="73" spans="1:8" ht="12.75">
      <c r="A73" s="711"/>
      <c r="B73" s="1186"/>
      <c r="C73" s="1193"/>
      <c r="D73" s="1188"/>
      <c r="E73" s="1222"/>
      <c r="F73" s="1189"/>
      <c r="G73" s="1189"/>
      <c r="H73" s="1189"/>
    </row>
    <row r="74" spans="1:5" ht="12.75">
      <c r="A74" s="1224">
        <f>+A68+1</f>
        <v>44</v>
      </c>
      <c r="B74" s="1188" t="str">
        <f>"Balance of Preferred Stock (Line "&amp;A23&amp;" (c))"</f>
        <v>Balance of Preferred Stock (Line 14 (c))</v>
      </c>
      <c r="E74" s="1225">
        <f>+D23</f>
        <v>0</v>
      </c>
    </row>
    <row r="75" spans="1:5" ht="12.75">
      <c r="A75" s="711">
        <f>+A74+1</f>
        <v>45</v>
      </c>
      <c r="B75" s="1188" t="s">
        <v>767</v>
      </c>
      <c r="E75" s="1213"/>
    </row>
    <row r="76" spans="1:5" ht="12.75">
      <c r="A76" s="711">
        <f>+A75+1</f>
        <v>46</v>
      </c>
      <c r="B76" s="1226" t="str">
        <f>"Average Cost of Preferred Stock (Ln "&amp;A75&amp;" / ln "&amp;A74&amp;")"</f>
        <v>Average Cost of Preferred Stock (Ln 45 / ln 44)</v>
      </c>
      <c r="E76" s="1227" t="e">
        <f>+E75/E74</f>
        <v>#DIV/0!</v>
      </c>
    </row>
  </sheetData>
  <sheetProtection/>
  <mergeCells count="10">
    <mergeCell ref="B50:C50"/>
    <mergeCell ref="B59:E59"/>
    <mergeCell ref="B60:F60"/>
    <mergeCell ref="E61:F61"/>
    <mergeCell ref="A4:G4"/>
    <mergeCell ref="A1:G1"/>
    <mergeCell ref="A2:G2"/>
    <mergeCell ref="A3:G3"/>
    <mergeCell ref="C6:G6"/>
    <mergeCell ref="C25:H25"/>
  </mergeCells>
  <printOptions/>
  <pageMargins left="0.7" right="0.7" top="0.75" bottom="0.75" header="0.3" footer="0.3"/>
  <pageSetup cellComments="asDisplayed" fitToHeight="0" fitToWidth="1" horizontalDpi="600" verticalDpi="600" orientation="landscape" scale="65" r:id="rId1"/>
  <headerFooter>
    <oddHeader>&amp;L&amp;"Times New Roman,Bold Italic"Privileged and Confidential 
Subject to FERC Rules 602 and 606 
&amp;RPage &amp;P of &amp;N
</oddHeader>
  </headerFooter>
  <rowBreaks count="1" manualBreakCount="1">
    <brk id="44"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U32"/>
  <sheetViews>
    <sheetView zoomScale="81" zoomScaleNormal="81" zoomScalePageLayoutView="0" workbookViewId="0" topLeftCell="A1">
      <selection activeCell="A1" sqref="A1:O1"/>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1.1484375" style="0" customWidth="1"/>
    <col min="17" max="17" width="12.7109375" style="0" customWidth="1"/>
    <col min="18" max="18" width="1.28515625" style="0" customWidth="1"/>
    <col min="19" max="19" width="17.57421875" style="0" customWidth="1"/>
    <col min="20" max="20" width="1.1484375" style="0" customWidth="1"/>
    <col min="21" max="21" width="13.00390625" style="0" customWidth="1"/>
  </cols>
  <sheetData>
    <row r="1" spans="1:15" ht="18">
      <c r="A1" s="1459" t="str">
        <f>TCOS!$F$3</f>
        <v>AEPTCo subsidiaries in PJM</v>
      </c>
      <c r="B1" s="1459" t="str">
        <f>TCOS!$F$3</f>
        <v>AEPTCo subsidiaries in PJM</v>
      </c>
      <c r="C1" s="1459" t="str">
        <f>TCOS!$F$3</f>
        <v>AEPTCo subsidiaries in PJM</v>
      </c>
      <c r="D1" s="1459" t="str">
        <f>TCOS!$F$3</f>
        <v>AEPTCo subsidiaries in PJM</v>
      </c>
      <c r="E1" s="1459" t="str">
        <f>TCOS!$F$3</f>
        <v>AEPTCo subsidiaries in PJM</v>
      </c>
      <c r="F1" s="1459" t="str">
        <f>TCOS!$F$3</f>
        <v>AEPTCo subsidiaries in PJM</v>
      </c>
      <c r="G1" s="1459" t="str">
        <f>TCOS!$F$3</f>
        <v>AEPTCo subsidiaries in PJM</v>
      </c>
      <c r="H1" s="1459" t="str">
        <f>TCOS!$F$3</f>
        <v>AEPTCo subsidiaries in PJM</v>
      </c>
      <c r="I1" s="1459" t="str">
        <f>TCOS!$F$3</f>
        <v>AEPTCo subsidiaries in PJM</v>
      </c>
      <c r="J1" s="1459" t="str">
        <f>TCOS!$F$3</f>
        <v>AEPTCo subsidiaries in PJM</v>
      </c>
      <c r="K1" s="1459" t="str">
        <f>TCOS!$F$3</f>
        <v>AEPTCo subsidiaries in PJM</v>
      </c>
      <c r="L1" s="1459" t="str">
        <f>TCOS!$F$3</f>
        <v>AEPTCo subsidiaries in PJM</v>
      </c>
      <c r="M1" s="1459" t="str">
        <f>TCOS!$F$3</f>
        <v>AEPTCo subsidiaries in PJM</v>
      </c>
      <c r="N1" s="1459" t="str">
        <f>TCOS!$F$3</f>
        <v>AEPTCo subsidiaries in PJM</v>
      </c>
      <c r="O1" s="1459" t="str">
        <f>TCOS!$F$3</f>
        <v>AEPTCo subsidiaries in PJM</v>
      </c>
    </row>
    <row r="2" spans="1:15" ht="18">
      <c r="A2" s="1458" t="str">
        <f>"Cost of Service Formula Rate Using Actual/Projected FF1 Balances"</f>
        <v>Cost of Service Formula Rate Using Actual/Projected FF1 Balances</v>
      </c>
      <c r="B2" s="1458"/>
      <c r="C2" s="1458"/>
      <c r="D2" s="1458"/>
      <c r="E2" s="1458"/>
      <c r="F2" s="1458"/>
      <c r="G2" s="1458"/>
      <c r="H2" s="1458"/>
      <c r="I2" s="1458"/>
      <c r="J2" s="1458"/>
      <c r="K2" s="1458"/>
      <c r="L2" s="1458"/>
      <c r="M2" s="1458"/>
      <c r="N2" s="1458"/>
      <c r="O2" s="1458"/>
    </row>
    <row r="3" spans="1:15" ht="18">
      <c r="A3" s="1458" t="s">
        <v>25</v>
      </c>
      <c r="B3" s="1458"/>
      <c r="C3" s="1458"/>
      <c r="D3" s="1458"/>
      <c r="E3" s="1458"/>
      <c r="F3" s="1458"/>
      <c r="G3" s="1458"/>
      <c r="H3" s="1458"/>
      <c r="I3" s="1458"/>
      <c r="J3" s="1458"/>
      <c r="K3" s="1458"/>
      <c r="L3" s="1458"/>
      <c r="M3" s="1458"/>
      <c r="N3" s="1458"/>
      <c r="O3" s="1458"/>
    </row>
    <row r="4" spans="1:15" ht="18">
      <c r="A4" s="1450" t="str">
        <f>+TCOS!F7</f>
        <v>AEP WEST VIRGINIA TRANSMISSION COMPANY</v>
      </c>
      <c r="B4" s="1450"/>
      <c r="C4" s="1450"/>
      <c r="D4" s="1450"/>
      <c r="E4" s="1450"/>
      <c r="F4" s="1450"/>
      <c r="G4" s="1450"/>
      <c r="H4" s="1450"/>
      <c r="I4" s="1450"/>
      <c r="J4" s="1450"/>
      <c r="K4" s="1450"/>
      <c r="L4" s="1450"/>
      <c r="M4" s="1450"/>
      <c r="N4" s="1450"/>
      <c r="O4" s="1450"/>
    </row>
    <row r="5" spans="1:12" ht="12.75" customHeight="1">
      <c r="A5" s="80"/>
      <c r="B5" s="80"/>
      <c r="C5" s="80"/>
      <c r="D5" s="80"/>
      <c r="E5" s="80"/>
      <c r="F5" s="80"/>
      <c r="G5" s="80"/>
      <c r="H5" s="80"/>
      <c r="I5" s="80"/>
      <c r="J5" s="80"/>
      <c r="K5" s="80"/>
      <c r="L5" s="80"/>
    </row>
    <row r="6" spans="1:15" ht="12.75" customHeight="1">
      <c r="A6" s="1487" t="s">
        <v>17</v>
      </c>
      <c r="B6" s="1487"/>
      <c r="C6" s="1487"/>
      <c r="D6" s="1487"/>
      <c r="E6" s="1487"/>
      <c r="F6" s="1487"/>
      <c r="G6" s="1487"/>
      <c r="H6" s="1487"/>
      <c r="I6" s="1487"/>
      <c r="J6" s="1487"/>
      <c r="K6" s="1487"/>
      <c r="L6" s="1487"/>
      <c r="M6" s="1487"/>
      <c r="N6" s="1487"/>
      <c r="O6" s="1487"/>
    </row>
    <row r="7" spans="1:15" ht="12.75" customHeight="1">
      <c r="A7" s="1487"/>
      <c r="B7" s="1487"/>
      <c r="C7" s="1487"/>
      <c r="D7" s="1487"/>
      <c r="E7" s="1487"/>
      <c r="F7" s="1487"/>
      <c r="G7" s="1487"/>
      <c r="H7" s="1487"/>
      <c r="I7" s="1487"/>
      <c r="J7" s="1487"/>
      <c r="K7" s="1487"/>
      <c r="L7" s="1487"/>
      <c r="M7" s="1487"/>
      <c r="N7" s="1487"/>
      <c r="O7" s="1487"/>
    </row>
    <row r="8" spans="1:15" ht="12.75">
      <c r="A8" s="1487"/>
      <c r="B8" s="1487"/>
      <c r="C8" s="1487"/>
      <c r="D8" s="1487"/>
      <c r="E8" s="1487"/>
      <c r="F8" s="1487"/>
      <c r="G8" s="1487"/>
      <c r="H8" s="1487"/>
      <c r="I8" s="1487"/>
      <c r="J8" s="1487"/>
      <c r="K8" s="1487"/>
      <c r="L8" s="1487"/>
      <c r="M8" s="1487"/>
      <c r="N8" s="1487"/>
      <c r="O8" s="1487"/>
    </row>
    <row r="9" spans="1:15" ht="12.75">
      <c r="A9" s="1487"/>
      <c r="B9" s="1487"/>
      <c r="C9" s="1487"/>
      <c r="D9" s="1487"/>
      <c r="E9" s="1487"/>
      <c r="F9" s="1487"/>
      <c r="G9" s="1487"/>
      <c r="H9" s="1487"/>
      <c r="I9" s="1487"/>
      <c r="J9" s="1487"/>
      <c r="K9" s="1487"/>
      <c r="L9" s="1487"/>
      <c r="M9" s="1487"/>
      <c r="N9" s="1487"/>
      <c r="O9" s="1487"/>
    </row>
    <row r="10" spans="2:21" ht="12.75">
      <c r="B10" s="1" t="s">
        <v>463</v>
      </c>
      <c r="C10" s="1"/>
      <c r="D10" s="1457" t="s">
        <v>464</v>
      </c>
      <c r="E10" s="1457"/>
      <c r="F10" s="1457"/>
      <c r="G10" s="1457"/>
      <c r="H10" s="1"/>
      <c r="I10" s="1" t="s">
        <v>332</v>
      </c>
      <c r="J10" s="1"/>
      <c r="K10" s="1" t="s">
        <v>466</v>
      </c>
      <c r="L10" s="1"/>
      <c r="M10" s="1" t="s">
        <v>386</v>
      </c>
      <c r="N10" s="1"/>
      <c r="O10" s="1" t="s">
        <v>387</v>
      </c>
      <c r="P10" s="1"/>
      <c r="Q10" s="1" t="s">
        <v>358</v>
      </c>
      <c r="R10" s="1"/>
      <c r="S10" s="1" t="s">
        <v>393</v>
      </c>
      <c r="U10" s="55" t="s">
        <v>297</v>
      </c>
    </row>
    <row r="11" spans="9:21" ht="12.75">
      <c r="I11" s="1489" t="s">
        <v>356</v>
      </c>
      <c r="Q11" s="1488" t="s">
        <v>357</v>
      </c>
      <c r="S11" s="1489" t="s">
        <v>359</v>
      </c>
      <c r="U11" s="138" t="s">
        <v>274</v>
      </c>
    </row>
    <row r="12" spans="1:21" ht="12.75">
      <c r="A12" s="83" t="s">
        <v>355</v>
      </c>
      <c r="B12" s="83" t="s">
        <v>351</v>
      </c>
      <c r="C12" s="83"/>
      <c r="D12" s="101" t="s">
        <v>352</v>
      </c>
      <c r="E12" s="83"/>
      <c r="F12" s="83"/>
      <c r="G12" s="83"/>
      <c r="H12" s="83"/>
      <c r="I12" s="1491"/>
      <c r="J12" s="83"/>
      <c r="K12" s="83" t="s">
        <v>353</v>
      </c>
      <c r="L12" s="83"/>
      <c r="M12" s="83" t="s">
        <v>354</v>
      </c>
      <c r="N12" s="83"/>
      <c r="O12" s="83" t="s">
        <v>291</v>
      </c>
      <c r="Q12" s="1488"/>
      <c r="S12" s="1489"/>
      <c r="U12" s="138" t="s">
        <v>111</v>
      </c>
    </row>
    <row r="13" spans="1:19" ht="12.75">
      <c r="A13" s="83"/>
      <c r="B13" s="83"/>
      <c r="C13" s="83"/>
      <c r="D13" s="101"/>
      <c r="E13" s="83"/>
      <c r="F13" s="83"/>
      <c r="G13" s="83"/>
      <c r="H13" s="83"/>
      <c r="I13" s="2" t="s">
        <v>289</v>
      </c>
      <c r="J13" s="83"/>
      <c r="K13" s="83"/>
      <c r="L13" s="83"/>
      <c r="M13" s="83"/>
      <c r="N13" s="83"/>
      <c r="O13" s="83"/>
      <c r="Q13" s="110"/>
      <c r="S13" s="83" t="s">
        <v>291</v>
      </c>
    </row>
    <row r="14" ht="12.75">
      <c r="I14" t="s">
        <v>290</v>
      </c>
    </row>
    <row r="15" spans="1:21" ht="12.75">
      <c r="A15" s="1">
        <v>1</v>
      </c>
      <c r="B15" s="849"/>
      <c r="D15" s="1490"/>
      <c r="E15" s="1490"/>
      <c r="F15" s="1490"/>
      <c r="G15" s="1490"/>
      <c r="I15" s="850"/>
      <c r="K15" s="848"/>
      <c r="L15" s="74"/>
      <c r="M15" s="848"/>
      <c r="O15" s="87">
        <f>+K15-M15</f>
        <v>0</v>
      </c>
      <c r="Q15" s="103">
        <f>IF(I15="G",TCOS!L217,IF(I15="T",1,0))</f>
        <v>0</v>
      </c>
      <c r="S15" s="87">
        <f>ROUND(O15*Q15,0)</f>
        <v>0</v>
      </c>
      <c r="U15" s="851"/>
    </row>
    <row r="16" spans="1:19" ht="12.75">
      <c r="A16" s="1"/>
      <c r="D16" s="1490"/>
      <c r="E16" s="1490"/>
      <c r="F16" s="1490"/>
      <c r="G16" s="1490"/>
      <c r="K16" s="74"/>
      <c r="L16" s="74"/>
      <c r="M16" s="74"/>
      <c r="O16" s="74"/>
      <c r="Q16" s="103"/>
      <c r="S16" s="74"/>
    </row>
    <row r="17" spans="1:19" ht="12.75">
      <c r="A17" s="1"/>
      <c r="D17" s="1490"/>
      <c r="E17" s="1490"/>
      <c r="F17" s="1490"/>
      <c r="G17" s="1490"/>
      <c r="K17" s="74"/>
      <c r="L17" s="74"/>
      <c r="M17" s="74"/>
      <c r="O17" s="74"/>
      <c r="Q17" s="103"/>
      <c r="S17" s="74"/>
    </row>
    <row r="18" spans="1:19" ht="12.75">
      <c r="A18" s="1"/>
      <c r="K18" s="74"/>
      <c r="L18" s="74"/>
      <c r="M18" s="74"/>
      <c r="O18" s="74"/>
      <c r="Q18" s="103"/>
      <c r="S18" s="74"/>
    </row>
    <row r="19" spans="1:19" ht="12.75">
      <c r="A19" s="1"/>
      <c r="K19" s="74"/>
      <c r="L19" s="74"/>
      <c r="M19" s="74"/>
      <c r="O19" s="74"/>
      <c r="Q19" s="103"/>
      <c r="S19" s="74"/>
    </row>
    <row r="20" spans="1:21" ht="12" customHeight="1">
      <c r="A20" s="1">
        <f>+A15+1</f>
        <v>2</v>
      </c>
      <c r="B20" s="849"/>
      <c r="D20" s="1490"/>
      <c r="E20" s="1490"/>
      <c r="F20" s="1490"/>
      <c r="G20" s="1490"/>
      <c r="I20" s="850"/>
      <c r="K20" s="848"/>
      <c r="L20" s="74"/>
      <c r="M20" s="848"/>
      <c r="O20" s="87">
        <f>+K20-M20</f>
        <v>0</v>
      </c>
      <c r="Q20" s="103">
        <f>IF(I20="G",TCOS!L217,IF(I20="T",1,0))</f>
        <v>0</v>
      </c>
      <c r="S20" s="87">
        <f>ROUND(O20*Q20,0)</f>
        <v>0</v>
      </c>
      <c r="U20" s="851"/>
    </row>
    <row r="21" spans="1:19" ht="12.75">
      <c r="A21" s="1"/>
      <c r="D21" s="1490"/>
      <c r="E21" s="1490"/>
      <c r="F21" s="1490"/>
      <c r="G21" s="1490"/>
      <c r="K21" s="74"/>
      <c r="L21" s="74"/>
      <c r="M21" s="74"/>
      <c r="O21" s="74"/>
      <c r="Q21" s="103"/>
      <c r="S21" s="74"/>
    </row>
    <row r="22" spans="1:19" ht="12.75">
      <c r="A22" s="1"/>
      <c r="D22" s="1490"/>
      <c r="E22" s="1490"/>
      <c r="F22" s="1490"/>
      <c r="G22" s="1490"/>
      <c r="K22" s="74"/>
      <c r="L22" s="74"/>
      <c r="M22" s="74"/>
      <c r="O22" s="74"/>
      <c r="Q22" s="103"/>
      <c r="S22" s="74"/>
    </row>
    <row r="23" spans="1:19" ht="12.75">
      <c r="A23" s="1"/>
      <c r="I23" s="1"/>
      <c r="K23" s="74"/>
      <c r="L23" s="74"/>
      <c r="M23" s="74"/>
      <c r="O23" s="74"/>
      <c r="Q23" s="103"/>
      <c r="S23" s="74"/>
    </row>
    <row r="24" spans="1:19" ht="12.75">
      <c r="A24" s="1"/>
      <c r="I24" s="1"/>
      <c r="K24" s="74"/>
      <c r="L24" s="74"/>
      <c r="M24" s="74"/>
      <c r="O24" s="74"/>
      <c r="Q24" s="103"/>
      <c r="S24" s="74"/>
    </row>
    <row r="25" spans="1:21" ht="12.75">
      <c r="A25" s="1">
        <f>+A20+1</f>
        <v>3</v>
      </c>
      <c r="B25" s="849"/>
      <c r="D25" s="1490"/>
      <c r="E25" s="1490"/>
      <c r="F25" s="1490"/>
      <c r="G25" s="1490"/>
      <c r="I25" s="850"/>
      <c r="K25" s="848"/>
      <c r="L25" s="74"/>
      <c r="M25" s="848"/>
      <c r="O25" s="87">
        <f>+K25-M25</f>
        <v>0</v>
      </c>
      <c r="Q25" s="103">
        <f>IF(I25="G",TCOS!L217,IF(I25="T",1,0))</f>
        <v>0</v>
      </c>
      <c r="S25" s="87">
        <f>ROUND(O25*Q25,0)</f>
        <v>0</v>
      </c>
      <c r="U25" s="851"/>
    </row>
    <row r="26" spans="1:19" ht="12.75">
      <c r="A26" s="1"/>
      <c r="D26" s="1490"/>
      <c r="E26" s="1490"/>
      <c r="F26" s="1490"/>
      <c r="G26" s="1490"/>
      <c r="K26" s="74"/>
      <c r="L26" s="74"/>
      <c r="M26" s="74"/>
      <c r="O26" s="74"/>
      <c r="Q26" s="103"/>
      <c r="S26" s="74"/>
    </row>
    <row r="27" spans="1:17" ht="12.75">
      <c r="A27" s="1"/>
      <c r="D27" s="1490"/>
      <c r="E27" s="1490"/>
      <c r="F27" s="1490"/>
      <c r="G27" s="1490"/>
      <c r="K27" s="74"/>
      <c r="L27" s="74"/>
      <c r="M27" s="74"/>
      <c r="O27" s="74"/>
      <c r="Q27" s="103"/>
    </row>
    <row r="28" spans="1:17" ht="12.75">
      <c r="A28" s="1"/>
      <c r="O28" s="74"/>
      <c r="Q28" s="103"/>
    </row>
    <row r="29" spans="1:17" ht="12.75">
      <c r="A29" s="1"/>
      <c r="O29" s="74"/>
      <c r="Q29" s="103"/>
    </row>
    <row r="30" spans="1:17" ht="12.75">
      <c r="A30" s="1"/>
      <c r="O30" s="74"/>
      <c r="Q30" s="103"/>
    </row>
    <row r="31" spans="1:19" ht="13.5" thickBot="1">
      <c r="A31" s="1">
        <f>+A25+1</f>
        <v>4</v>
      </c>
      <c r="K31" t="str">
        <f>"Net (Gain) or Loss for "&amp;TCOS!O1&amp;""</f>
        <v>Net (Gain) or Loss for  </v>
      </c>
      <c r="O31" s="108">
        <f>SUM(O15:O25)</f>
        <v>0</v>
      </c>
      <c r="Q31" s="109"/>
      <c r="S31" s="108">
        <f>SUM(S15:S25)</f>
        <v>0</v>
      </c>
    </row>
    <row r="32" spans="1:17" ht="13.5" thickTop="1">
      <c r="A32" s="1"/>
      <c r="O32" s="74"/>
      <c r="Q32" s="109"/>
    </row>
  </sheetData>
  <sheetProtection/>
  <mergeCells count="12">
    <mergeCell ref="D25:G27"/>
    <mergeCell ref="A1:O1"/>
    <mergeCell ref="A2:O2"/>
    <mergeCell ref="A3:O3"/>
    <mergeCell ref="I11:I12"/>
    <mergeCell ref="D10:G10"/>
    <mergeCell ref="A4:O4"/>
    <mergeCell ref="A6:O9"/>
    <mergeCell ref="Q11:Q12"/>
    <mergeCell ref="S11:S12"/>
    <mergeCell ref="D15:G17"/>
    <mergeCell ref="D20:G22"/>
  </mergeCells>
  <printOptions/>
  <pageMargins left="0.75" right="0.75" top="1" bottom="1" header="0.75" footer="0.5"/>
  <pageSetup fitToHeight="1" fitToWidth="1" horizontalDpi="600" verticalDpi="600" orientation="landscape" scale="75"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dimension ref="A1:F35"/>
  <sheetViews>
    <sheetView view="pageBreakPreview" zoomScale="90" zoomScaleNormal="80" zoomScaleSheetLayoutView="90" zoomScalePageLayoutView="0" workbookViewId="0" topLeftCell="A1">
      <selection activeCell="A1" sqref="A1:D1"/>
    </sheetView>
  </sheetViews>
  <sheetFormatPr defaultColWidth="11.421875" defaultRowHeight="12.75"/>
  <cols>
    <col min="1" max="1" width="37.8515625" style="1272" customWidth="1"/>
    <col min="2" max="2" width="25.421875" style="1272" customWidth="1"/>
    <col min="3" max="3" width="53.421875" style="1272" customWidth="1"/>
    <col min="4" max="4" width="18.421875" style="1272" customWidth="1"/>
    <col min="5" max="5" width="11.421875" style="1272" customWidth="1"/>
    <col min="6" max="6" width="13.7109375" style="1272" bestFit="1" customWidth="1"/>
    <col min="7" max="16384" width="11.421875" style="1272" customWidth="1"/>
  </cols>
  <sheetData>
    <row r="1" spans="1:4" ht="15.75">
      <c r="A1" s="1492" t="str">
        <f>TCOS!F3</f>
        <v>AEPTCo subsidiaries in PJM</v>
      </c>
      <c r="B1" s="1492" t="str">
        <f>'[5]TCOS'!$F$5</f>
        <v>AEPTCo subsidiaries in PJM</v>
      </c>
      <c r="C1" s="1492" t="str">
        <f>'[5]TCOS'!$F$5</f>
        <v>AEPTCo subsidiaries in PJM</v>
      </c>
      <c r="D1" s="1492" t="str">
        <f>'[5]TCOS'!$F$5</f>
        <v>AEPTCo subsidiaries in PJM</v>
      </c>
    </row>
    <row r="2" spans="1:4" ht="15.75">
      <c r="A2" s="1492" t="str">
        <f>"Cost of Service Formula Rate Using Actual/Projected FF1 Balances"</f>
        <v>Cost of Service Formula Rate Using Actual/Projected FF1 Balances</v>
      </c>
      <c r="B2" s="1492"/>
      <c r="C2" s="1492"/>
      <c r="D2" s="1492"/>
    </row>
    <row r="3" spans="1:4" ht="15.75">
      <c r="A3" s="1492" t="s">
        <v>793</v>
      </c>
      <c r="B3" s="1492"/>
      <c r="C3" s="1492"/>
      <c r="D3" s="1492"/>
    </row>
    <row r="4" spans="1:4" ht="15.75">
      <c r="A4" s="1492" t="s">
        <v>794</v>
      </c>
      <c r="B4" s="1492"/>
      <c r="C4" s="1492"/>
      <c r="D4" s="1492"/>
    </row>
    <row r="5" spans="1:4" ht="15.75">
      <c r="A5" s="1493" t="str">
        <f>TCOS!F7</f>
        <v>AEP WEST VIRGINIA TRANSMISSION COMPANY</v>
      </c>
      <c r="B5" s="1493"/>
      <c r="C5" s="1493"/>
      <c r="D5" s="1493"/>
    </row>
    <row r="6" spans="1:4" ht="15.75">
      <c r="A6" s="1274"/>
      <c r="B6" s="1275"/>
      <c r="C6" s="1275"/>
      <c r="D6" s="1275"/>
    </row>
    <row r="7" spans="1:4" ht="15.75">
      <c r="A7" s="1276"/>
      <c r="B7" s="1277"/>
      <c r="C7" s="1277"/>
      <c r="D7" s="1277"/>
    </row>
    <row r="8" spans="1:4" ht="15.75">
      <c r="A8" s="1278"/>
      <c r="B8" s="1278"/>
      <c r="C8" s="1278"/>
      <c r="D8" s="1278"/>
    </row>
    <row r="9" spans="1:4" ht="15.75">
      <c r="A9" s="1279" t="s">
        <v>795</v>
      </c>
      <c r="B9" s="1277" t="s">
        <v>463</v>
      </c>
      <c r="C9" s="1280"/>
      <c r="D9" s="1277" t="s">
        <v>464</v>
      </c>
    </row>
    <row r="10" spans="1:4" ht="15.75">
      <c r="A10" s="1273">
        <f>1</f>
        <v>1</v>
      </c>
      <c r="B10" s="1281" t="s">
        <v>796</v>
      </c>
      <c r="C10" s="1282"/>
      <c r="D10" s="1273"/>
    </row>
    <row r="11" spans="1:4" ht="15.75">
      <c r="A11" s="1273"/>
      <c r="B11" s="1281"/>
      <c r="C11" s="1282"/>
      <c r="D11" s="1273"/>
    </row>
    <row r="12" spans="1:4" ht="15.75">
      <c r="A12" s="1273"/>
      <c r="B12" s="1283"/>
      <c r="C12" s="1283"/>
      <c r="D12" s="1283"/>
    </row>
    <row r="13" spans="1:4" ht="15.75">
      <c r="A13" s="1273">
        <f>A10+1</f>
        <v>2</v>
      </c>
      <c r="B13" s="1284" t="s">
        <v>797</v>
      </c>
      <c r="C13" s="1285"/>
      <c r="D13" s="1286"/>
    </row>
    <row r="14" spans="1:6" ht="15.75">
      <c r="A14" s="1273">
        <f aca="true" t="shared" si="0" ref="A14:A21">+A13+1</f>
        <v>3</v>
      </c>
      <c r="B14" s="1287" t="s">
        <v>798</v>
      </c>
      <c r="C14" s="1287"/>
      <c r="D14" s="1288">
        <v>-62529765</v>
      </c>
      <c r="F14" s="1289"/>
    </row>
    <row r="15" spans="1:6" ht="15.75">
      <c r="A15" s="1273">
        <f t="shared" si="0"/>
        <v>4</v>
      </c>
      <c r="B15" s="1287" t="s">
        <v>799</v>
      </c>
      <c r="C15" s="1287"/>
      <c r="D15" s="1290">
        <v>0</v>
      </c>
      <c r="F15" s="1289"/>
    </row>
    <row r="16" spans="1:4" ht="15.75">
      <c r="A16" s="1273">
        <f t="shared" si="0"/>
        <v>5</v>
      </c>
      <c r="B16" s="1287" t="s">
        <v>800</v>
      </c>
      <c r="C16" s="1287"/>
      <c r="D16" s="1291">
        <f>+D14-D15</f>
        <v>-62529765</v>
      </c>
    </row>
    <row r="17" spans="1:4" ht="15.75">
      <c r="A17" s="1273">
        <f t="shared" si="0"/>
        <v>6</v>
      </c>
      <c r="B17" s="1287" t="s">
        <v>801</v>
      </c>
      <c r="C17" s="1287"/>
      <c r="D17" s="1288">
        <v>1368849980.93</v>
      </c>
    </row>
    <row r="18" spans="1:4" ht="15.75">
      <c r="A18" s="1273">
        <f t="shared" si="0"/>
        <v>7</v>
      </c>
      <c r="B18" s="1287" t="s">
        <v>802</v>
      </c>
      <c r="C18" s="1287"/>
      <c r="D18" s="1292">
        <f>+D16/D17</f>
        <v>-0.045680509822937004</v>
      </c>
    </row>
    <row r="19" spans="1:5" ht="15.75">
      <c r="A19" s="1273">
        <f t="shared" si="0"/>
        <v>8</v>
      </c>
      <c r="B19" s="1287" t="s">
        <v>803</v>
      </c>
      <c r="C19" s="1287"/>
      <c r="D19" s="1293">
        <v>-0.058</v>
      </c>
      <c r="E19" s="1294"/>
    </row>
    <row r="20" spans="1:4" ht="15.75">
      <c r="A20" s="1273">
        <f t="shared" si="0"/>
        <v>9</v>
      </c>
      <c r="B20" s="1287" t="s">
        <v>804</v>
      </c>
      <c r="C20" s="1287"/>
      <c r="D20" s="1295">
        <v>2815458.48</v>
      </c>
    </row>
    <row r="21" spans="1:4" ht="15.75">
      <c r="A21" s="1273">
        <f t="shared" si="0"/>
        <v>10</v>
      </c>
      <c r="B21" s="1287" t="str">
        <f>"Allowable TransCo PBOP Expense for current year (Ln "&amp;A19&amp;" * Ln "&amp;A20&amp;")"</f>
        <v>Allowable TransCo PBOP Expense for current year (Ln 8 * Ln 9)</v>
      </c>
      <c r="C21" s="1287"/>
      <c r="D21" s="1296">
        <f>+D19*D20</f>
        <v>-163296.59184</v>
      </c>
    </row>
    <row r="22" spans="1:4" ht="15.75">
      <c r="A22" s="1273"/>
      <c r="B22" s="1287"/>
      <c r="C22" s="1287"/>
      <c r="D22" s="1296"/>
    </row>
    <row r="23" spans="1:4" ht="15.75">
      <c r="A23" s="1273"/>
      <c r="B23" s="1287"/>
      <c r="C23" s="1287"/>
      <c r="D23" s="1296"/>
    </row>
    <row r="24" spans="1:4" ht="15.75">
      <c r="A24" s="1273">
        <f>+A21+1</f>
        <v>11</v>
      </c>
      <c r="B24" s="1297" t="s">
        <v>805</v>
      </c>
      <c r="C24" s="1287"/>
      <c r="D24" s="1298">
        <v>0</v>
      </c>
    </row>
    <row r="25" spans="1:4" ht="15.75">
      <c r="A25" s="1273">
        <f>+A24+1</f>
        <v>12</v>
      </c>
      <c r="B25" s="1299" t="s">
        <v>806</v>
      </c>
      <c r="C25" s="1287"/>
      <c r="D25" s="1298">
        <v>0</v>
      </c>
    </row>
    <row r="26" spans="1:4" ht="15.75">
      <c r="A26" s="1273">
        <f>+A25+1</f>
        <v>13</v>
      </c>
      <c r="B26" s="1299" t="s">
        <v>807</v>
      </c>
      <c r="C26" s="1287"/>
      <c r="D26" s="1298">
        <v>0</v>
      </c>
    </row>
    <row r="27" spans="1:4" ht="16.5" thickBot="1">
      <c r="A27" s="1300">
        <f>+A26+1</f>
        <v>14</v>
      </c>
      <c r="B27" s="1301" t="s">
        <v>808</v>
      </c>
      <c r="C27" s="1302"/>
      <c r="D27" s="1303">
        <v>-375400</v>
      </c>
    </row>
    <row r="28" spans="1:4" ht="15.75">
      <c r="A28" s="1273">
        <f>+A27+1</f>
        <v>15</v>
      </c>
      <c r="B28" s="1283" t="s">
        <v>809</v>
      </c>
      <c r="C28" s="1283" t="str">
        <f>"(Sum Lines "&amp;A24&amp;"-"&amp;A27&amp;")"</f>
        <v>(Sum Lines 11-14)</v>
      </c>
      <c r="D28" s="1304">
        <f>SUM(D24:D27)</f>
        <v>-375400</v>
      </c>
    </row>
    <row r="29" spans="1:4" ht="15.75">
      <c r="A29" s="1273"/>
      <c r="B29" s="1283"/>
      <c r="C29" s="1283"/>
      <c r="D29" s="1304"/>
    </row>
    <row r="30" spans="1:4" ht="15.75">
      <c r="A30" s="1273"/>
      <c r="B30" s="1283"/>
      <c r="C30" s="1283"/>
      <c r="D30" s="1304"/>
    </row>
    <row r="31" spans="1:4" s="1306" customFormat="1" ht="15.75">
      <c r="A31" s="1273">
        <f>A28+1</f>
        <v>16</v>
      </c>
      <c r="B31" s="1283" t="s">
        <v>810</v>
      </c>
      <c r="C31" s="1283" t="str">
        <f>"Line "&amp;A21&amp;" less Line "&amp;A28&amp;""</f>
        <v>Line 10 less Line 15</v>
      </c>
      <c r="D31" s="1305">
        <f>D21-D28</f>
        <v>212103.40816</v>
      </c>
    </row>
    <row r="32" spans="1:4" s="1306" customFormat="1" ht="15.75">
      <c r="A32" s="1273"/>
      <c r="B32" s="1283"/>
      <c r="C32" s="1283"/>
      <c r="D32" s="1305"/>
    </row>
    <row r="33" ht="15.75">
      <c r="A33" s="1299" t="s">
        <v>811</v>
      </c>
    </row>
    <row r="35" spans="1:4" ht="387.75" customHeight="1">
      <c r="A35" s="1494" t="s">
        <v>812</v>
      </c>
      <c r="B35" s="1494"/>
      <c r="C35" s="1494"/>
      <c r="D35" s="1494"/>
    </row>
  </sheetData>
  <sheetProtection/>
  <mergeCells count="6">
    <mergeCell ref="A1:D1"/>
    <mergeCell ref="A2:D2"/>
    <mergeCell ref="A3:D3"/>
    <mergeCell ref="A4:D4"/>
    <mergeCell ref="A5:D5"/>
    <mergeCell ref="A35:D35"/>
  </mergeCells>
  <printOptions/>
  <pageMargins left="0.25" right="0.33" top="0.78" bottom="0.43" header="0.5" footer="0.21"/>
  <pageSetup fitToHeight="0" horizontalDpi="600" verticalDpi="600" orientation="portrait" scale="68" r:id="rId1"/>
  <headerFooter alignWithMargins="0">
    <oddHeader>&amp;R
&amp;A&amp;"Arial,Bold"
&amp;"Arial,Regular"Page &amp;P of &amp;N</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L90"/>
  <sheetViews>
    <sheetView zoomScale="90" zoomScaleNormal="90" zoomScaleSheetLayoutView="70" workbookViewId="0" topLeftCell="A1">
      <selection activeCell="A1" sqref="A1:G1"/>
    </sheetView>
  </sheetViews>
  <sheetFormatPr defaultColWidth="11.421875" defaultRowHeight="12.75"/>
  <cols>
    <col min="1" max="1" width="10.28125" style="1118" customWidth="1"/>
    <col min="2" max="2" width="57.421875" style="1065" customWidth="1"/>
    <col min="3" max="3" width="26.7109375" style="1065" bestFit="1" customWidth="1"/>
    <col min="4" max="4" width="25.00390625" style="1065" customWidth="1"/>
    <col min="5" max="11" width="20.28125" style="1065" customWidth="1"/>
    <col min="12" max="12" width="20.00390625" style="1065" customWidth="1"/>
    <col min="13" max="14" width="15.140625" style="1065" customWidth="1"/>
    <col min="15" max="16384" width="11.421875" style="1065" customWidth="1"/>
  </cols>
  <sheetData>
    <row r="1" spans="1:9" ht="15">
      <c r="A1" s="1421" t="str">
        <f>TCOS!F3</f>
        <v>AEPTCo subsidiaries in PJM</v>
      </c>
      <c r="B1" s="1421" t="str">
        <f>'[3]TCOS'!$F$3</f>
        <v>AEPTCo subsidiaries in PJM</v>
      </c>
      <c r="C1" s="1421" t="str">
        <f>'[3]TCOS'!$F$3</f>
        <v>AEPTCo subsidiaries in PJM</v>
      </c>
      <c r="D1" s="1421" t="str">
        <f>'[3]TCOS'!$F$3</f>
        <v>AEPTCo subsidiaries in PJM</v>
      </c>
      <c r="E1" s="1421" t="str">
        <f>'[3]TCOS'!$F$3</f>
        <v>AEPTCo subsidiaries in PJM</v>
      </c>
      <c r="F1" s="1421" t="str">
        <f>'[3]TCOS'!$F$3</f>
        <v>AEPTCo subsidiaries in PJM</v>
      </c>
      <c r="G1" s="1421" t="str">
        <f>'[3]TCOS'!$F$3</f>
        <v>AEPTCo subsidiaries in PJM</v>
      </c>
      <c r="H1" s="1064"/>
      <c r="I1" s="1064"/>
    </row>
    <row r="2" spans="1:12" ht="15">
      <c r="A2" s="1422" t="str">
        <f>"Cost of Service Formula Rate Using Actual/Projected FF1 Balances"</f>
        <v>Cost of Service Formula Rate Using Actual/Projected FF1 Balances</v>
      </c>
      <c r="B2" s="1422"/>
      <c r="C2" s="1422"/>
      <c r="D2" s="1422"/>
      <c r="E2" s="1422"/>
      <c r="F2" s="1422"/>
      <c r="G2" s="1422"/>
      <c r="H2" s="1064"/>
      <c r="I2" s="1064"/>
      <c r="J2" s="1064"/>
      <c r="L2" s="1066"/>
    </row>
    <row r="3" spans="1:10" ht="15">
      <c r="A3" s="1422" t="s">
        <v>712</v>
      </c>
      <c r="B3" s="1422"/>
      <c r="C3" s="1422"/>
      <c r="D3" s="1422"/>
      <c r="E3" s="1422"/>
      <c r="F3" s="1422"/>
      <c r="G3" s="1422"/>
      <c r="H3" s="1064"/>
      <c r="I3" s="1064"/>
      <c r="J3" s="1064"/>
    </row>
    <row r="4" spans="1:10" ht="15">
      <c r="A4" s="1428" t="str">
        <f>TCOS!F7</f>
        <v>AEP WEST VIRGINIA TRANSMISSION COMPANY</v>
      </c>
      <c r="B4" s="1428"/>
      <c r="C4" s="1428"/>
      <c r="D4" s="1428"/>
      <c r="E4" s="1428"/>
      <c r="F4" s="1428"/>
      <c r="G4" s="1428"/>
      <c r="H4" s="1064"/>
      <c r="I4" s="1064"/>
      <c r="J4" s="1064"/>
    </row>
    <row r="5" spans="1:12" ht="12.75">
      <c r="A5" s="1064"/>
      <c r="B5" s="1067"/>
      <c r="C5" s="1067"/>
      <c r="D5" s="1067"/>
      <c r="E5" s="1068"/>
      <c r="F5" s="1069"/>
      <c r="H5" s="1069"/>
      <c r="J5" s="1069"/>
      <c r="L5" s="1069"/>
    </row>
    <row r="6" spans="1:12" ht="12.75" customHeight="1">
      <c r="A6" s="1064"/>
      <c r="B6" s="1067"/>
      <c r="C6" s="1423" t="s">
        <v>713</v>
      </c>
      <c r="D6" s="1424"/>
      <c r="E6" s="1424"/>
      <c r="F6" s="1424"/>
      <c r="G6" s="1425"/>
      <c r="H6" s="1070"/>
      <c r="I6" s="1070"/>
      <c r="J6" s="1070"/>
      <c r="K6" s="1070"/>
      <c r="L6" s="4"/>
    </row>
    <row r="7" spans="1:12" s="1075" customFormat="1" ht="25.5">
      <c r="A7" s="1071" t="s">
        <v>714</v>
      </c>
      <c r="B7" s="1072" t="s">
        <v>715</v>
      </c>
      <c r="C7" s="1073" t="s">
        <v>418</v>
      </c>
      <c r="D7" s="1073" t="s">
        <v>716</v>
      </c>
      <c r="E7" s="1073" t="s">
        <v>137</v>
      </c>
      <c r="F7" s="1073" t="s">
        <v>717</v>
      </c>
      <c r="G7" s="1072" t="s">
        <v>718</v>
      </c>
      <c r="H7" s="7"/>
      <c r="I7" s="1074"/>
      <c r="J7" s="1074"/>
      <c r="K7" s="1074"/>
      <c r="L7" s="4"/>
    </row>
    <row r="8" spans="1:12" s="1080" customFormat="1" ht="12.75">
      <c r="A8" s="1076"/>
      <c r="B8" s="1077" t="s">
        <v>719</v>
      </c>
      <c r="C8" s="1078" t="s">
        <v>720</v>
      </c>
      <c r="D8" s="1078" t="s">
        <v>721</v>
      </c>
      <c r="E8" s="1078" t="s">
        <v>722</v>
      </c>
      <c r="F8" s="1078" t="s">
        <v>723</v>
      </c>
      <c r="G8" s="1079" t="s">
        <v>724</v>
      </c>
      <c r="H8"/>
      <c r="L8" s="4"/>
    </row>
    <row r="9" spans="1:12" s="1080" customFormat="1" ht="44.25" customHeight="1">
      <c r="A9" s="1076"/>
      <c r="B9" s="1077" t="s">
        <v>725</v>
      </c>
      <c r="C9" s="1081" t="s">
        <v>232</v>
      </c>
      <c r="D9" s="1081" t="s">
        <v>233</v>
      </c>
      <c r="E9" s="1081" t="s">
        <v>234</v>
      </c>
      <c r="F9" s="1081" t="s">
        <v>235</v>
      </c>
      <c r="G9" s="1082" t="s">
        <v>236</v>
      </c>
      <c r="H9"/>
      <c r="L9" s="4"/>
    </row>
    <row r="10" spans="1:12" ht="12.75">
      <c r="A10" s="1076">
        <v>1</v>
      </c>
      <c r="B10" s="1083" t="s">
        <v>726</v>
      </c>
      <c r="C10" s="1084">
        <v>565270816</v>
      </c>
      <c r="D10" s="1084">
        <v>0</v>
      </c>
      <c r="E10" s="1084">
        <v>0</v>
      </c>
      <c r="F10" s="1084">
        <v>0</v>
      </c>
      <c r="G10" s="1085">
        <v>2976059</v>
      </c>
      <c r="H10"/>
      <c r="L10" s="4"/>
    </row>
    <row r="11" spans="1:12" ht="12.75">
      <c r="A11" s="1076">
        <f>+A10+1</f>
        <v>2</v>
      </c>
      <c r="B11" s="1083" t="s">
        <v>579</v>
      </c>
      <c r="C11" s="1263"/>
      <c r="D11" s="1263"/>
      <c r="E11" s="1264"/>
      <c r="F11" s="1263"/>
      <c r="G11" s="1265"/>
      <c r="H11"/>
      <c r="L11" s="4"/>
    </row>
    <row r="12" spans="1:12" ht="12.75">
      <c r="A12" s="1076">
        <f aca="true" t="shared" si="0" ref="A12:A23">+A11+1</f>
        <v>3</v>
      </c>
      <c r="B12" s="1087" t="s">
        <v>580</v>
      </c>
      <c r="C12" s="1263"/>
      <c r="D12" s="1263"/>
      <c r="E12" s="1264"/>
      <c r="F12" s="1263"/>
      <c r="G12" s="1265"/>
      <c r="H12"/>
      <c r="L12" s="4"/>
    </row>
    <row r="13" spans="1:12" ht="12.75">
      <c r="A13" s="1076">
        <f t="shared" si="0"/>
        <v>4</v>
      </c>
      <c r="B13" s="1087" t="s">
        <v>727</v>
      </c>
      <c r="C13" s="1263"/>
      <c r="D13" s="1263"/>
      <c r="E13" s="1264"/>
      <c r="F13" s="1263"/>
      <c r="G13" s="1265"/>
      <c r="H13"/>
      <c r="L13" s="4"/>
    </row>
    <row r="14" spans="1:12" ht="12.75">
      <c r="A14" s="1076">
        <f t="shared" si="0"/>
        <v>5</v>
      </c>
      <c r="B14" s="1087" t="s">
        <v>582</v>
      </c>
      <c r="C14" s="1263"/>
      <c r="D14" s="1263"/>
      <c r="E14" s="1264"/>
      <c r="F14" s="1263"/>
      <c r="G14" s="1265"/>
      <c r="H14"/>
      <c r="L14" s="4"/>
    </row>
    <row r="15" spans="1:12" ht="12.75">
      <c r="A15" s="1076">
        <f t="shared" si="0"/>
        <v>6</v>
      </c>
      <c r="B15" s="1087" t="s">
        <v>583</v>
      </c>
      <c r="C15" s="1263"/>
      <c r="D15" s="1263"/>
      <c r="E15" s="1264"/>
      <c r="F15" s="1263"/>
      <c r="G15" s="1265"/>
      <c r="H15"/>
      <c r="L15" s="4"/>
    </row>
    <row r="16" spans="1:12" ht="12.75">
      <c r="A16" s="1076">
        <f t="shared" si="0"/>
        <v>7</v>
      </c>
      <c r="B16" s="1087" t="s">
        <v>584</v>
      </c>
      <c r="C16" s="1263"/>
      <c r="D16" s="1263"/>
      <c r="E16" s="1264"/>
      <c r="F16" s="1263"/>
      <c r="G16" s="1265"/>
      <c r="H16"/>
      <c r="L16" s="4"/>
    </row>
    <row r="17" spans="1:12" ht="12.75">
      <c r="A17" s="1076">
        <f t="shared" si="0"/>
        <v>8</v>
      </c>
      <c r="B17" s="1087" t="s">
        <v>585</v>
      </c>
      <c r="C17" s="1263"/>
      <c r="D17" s="1263"/>
      <c r="E17" s="1264"/>
      <c r="F17" s="1263"/>
      <c r="G17" s="1265"/>
      <c r="H17"/>
      <c r="L17" s="4"/>
    </row>
    <row r="18" spans="1:12" ht="12.75">
      <c r="A18" s="1076">
        <f t="shared" si="0"/>
        <v>9</v>
      </c>
      <c r="B18" s="1087" t="s">
        <v>728</v>
      </c>
      <c r="C18" s="1263"/>
      <c r="D18" s="1263"/>
      <c r="E18" s="1264"/>
      <c r="F18" s="1263"/>
      <c r="G18" s="1265"/>
      <c r="H18"/>
      <c r="L18" s="4"/>
    </row>
    <row r="19" spans="1:12" ht="12.75">
      <c r="A19" s="1076">
        <f t="shared" si="0"/>
        <v>10</v>
      </c>
      <c r="B19" s="1087" t="s">
        <v>587</v>
      </c>
      <c r="C19" s="1263"/>
      <c r="D19" s="1263"/>
      <c r="E19" s="1264"/>
      <c r="F19" s="1263"/>
      <c r="G19" s="1265"/>
      <c r="H19"/>
      <c r="L19" s="4"/>
    </row>
    <row r="20" spans="1:12" ht="12.75">
      <c r="A20" s="1076">
        <f t="shared" si="0"/>
        <v>11</v>
      </c>
      <c r="B20" s="1087" t="s">
        <v>588</v>
      </c>
      <c r="C20" s="1263"/>
      <c r="D20" s="1263"/>
      <c r="E20" s="1264"/>
      <c r="F20" s="1263"/>
      <c r="G20" s="1265"/>
      <c r="H20"/>
      <c r="L20" s="4"/>
    </row>
    <row r="21" spans="1:12" ht="12.75">
      <c r="A21" s="1076">
        <f t="shared" si="0"/>
        <v>12</v>
      </c>
      <c r="B21" s="1087" t="s">
        <v>589</v>
      </c>
      <c r="C21" s="1263"/>
      <c r="D21" s="1263"/>
      <c r="E21" s="1264"/>
      <c r="F21" s="1263"/>
      <c r="G21" s="1265"/>
      <c r="H21"/>
      <c r="L21" s="4"/>
    </row>
    <row r="22" spans="1:12" ht="12.75">
      <c r="A22" s="1088">
        <f t="shared" si="0"/>
        <v>13</v>
      </c>
      <c r="B22" s="1089" t="s">
        <v>729</v>
      </c>
      <c r="C22" s="1084">
        <v>769847923</v>
      </c>
      <c r="D22" s="1084">
        <v>0</v>
      </c>
      <c r="E22" s="434">
        <v>21907</v>
      </c>
      <c r="F22" s="1084">
        <v>0</v>
      </c>
      <c r="G22" s="1086">
        <v>6120271</v>
      </c>
      <c r="H22"/>
      <c r="L22" s="4"/>
    </row>
    <row r="23" spans="1:12" ht="13.5" thickBot="1">
      <c r="A23" s="1088">
        <f t="shared" si="0"/>
        <v>14</v>
      </c>
      <c r="B23" s="1090" t="s">
        <v>792</v>
      </c>
      <c r="C23" s="1091">
        <f>(C10+C22)/2</f>
        <v>667559369.5</v>
      </c>
      <c r="D23" s="1091">
        <f>(D10+D22)/2</f>
        <v>0</v>
      </c>
      <c r="E23" s="1091">
        <f>(E10+E22)/2</f>
        <v>10953.5</v>
      </c>
      <c r="F23" s="1091">
        <f>(F10+F22)/2</f>
        <v>0</v>
      </c>
      <c r="G23" s="1092">
        <f>(G10+G22)/2</f>
        <v>4548165</v>
      </c>
      <c r="H23"/>
      <c r="L23" s="4"/>
    </row>
    <row r="24" spans="1:12" ht="13.5" thickTop="1">
      <c r="A24" s="1064"/>
      <c r="B24" s="1093"/>
      <c r="C24" s="1094"/>
      <c r="D24" s="1095"/>
      <c r="E24" s="1095"/>
      <c r="F24" s="1095"/>
      <c r="G24" s="1094"/>
      <c r="H24" s="1094"/>
      <c r="I24" s="1094"/>
      <c r="J24" s="4"/>
      <c r="K24" s="4"/>
      <c r="L24" s="4"/>
    </row>
    <row r="25" spans="1:12" ht="12.75" customHeight="1">
      <c r="A25" s="1064"/>
      <c r="B25" s="1067"/>
      <c r="C25" s="1426" t="s">
        <v>730</v>
      </c>
      <c r="D25" s="1427"/>
      <c r="E25" s="1427"/>
      <c r="F25" s="1427"/>
      <c r="G25" s="1427"/>
      <c r="H25"/>
      <c r="I25"/>
      <c r="J25"/>
      <c r="K25"/>
      <c r="L25" s="4"/>
    </row>
    <row r="26" spans="1:12" s="1075" customFormat="1" ht="25.5">
      <c r="A26" s="1071" t="s">
        <v>714</v>
      </c>
      <c r="B26" s="1072" t="s">
        <v>715</v>
      </c>
      <c r="C26" s="1073" t="s">
        <v>418</v>
      </c>
      <c r="D26" s="1073" t="s">
        <v>716</v>
      </c>
      <c r="E26" s="1073" t="s">
        <v>137</v>
      </c>
      <c r="F26" s="1073" t="s">
        <v>717</v>
      </c>
      <c r="G26" s="1096" t="s">
        <v>718</v>
      </c>
      <c r="H26"/>
      <c r="I26"/>
      <c r="J26"/>
      <c r="K26"/>
      <c r="L26" s="4"/>
    </row>
    <row r="27" spans="1:12" s="1080" customFormat="1" ht="12.75">
      <c r="A27" s="1076"/>
      <c r="B27" s="1077" t="s">
        <v>719</v>
      </c>
      <c r="C27" s="1078" t="s">
        <v>720</v>
      </c>
      <c r="D27" s="1078" t="s">
        <v>721</v>
      </c>
      <c r="E27" s="1078" t="s">
        <v>722</v>
      </c>
      <c r="F27" s="1078" t="s">
        <v>723</v>
      </c>
      <c r="G27" s="1079" t="s">
        <v>724</v>
      </c>
      <c r="H27"/>
      <c r="I27"/>
      <c r="J27"/>
      <c r="K27"/>
      <c r="L27" s="4"/>
    </row>
    <row r="28" spans="1:12" s="1080" customFormat="1" ht="44.25" customHeight="1">
      <c r="A28" s="1076"/>
      <c r="B28" s="1077" t="s">
        <v>725</v>
      </c>
      <c r="C28" s="1081" t="s">
        <v>181</v>
      </c>
      <c r="D28" s="1081" t="str">
        <f>"Company Records (Included in total in Column "&amp;C27&amp;")"</f>
        <v>Company Records (Included in total in Column (d))</v>
      </c>
      <c r="E28" s="1081" t="s">
        <v>9</v>
      </c>
      <c r="F28" s="1081" t="str">
        <f>"Company Records (Included in total in Column "&amp;E27&amp;")"</f>
        <v>Company Records (Included in total in Column (h))</v>
      </c>
      <c r="G28" s="1082" t="s">
        <v>303</v>
      </c>
      <c r="H28"/>
      <c r="I28"/>
      <c r="J28"/>
      <c r="K28"/>
      <c r="L28" s="4"/>
    </row>
    <row r="29" spans="1:12" ht="12.75">
      <c r="A29" s="1076">
        <f>+A23+1</f>
        <v>15</v>
      </c>
      <c r="B29" s="1083" t="s">
        <v>726</v>
      </c>
      <c r="C29" s="1084">
        <v>10534889</v>
      </c>
      <c r="D29" s="1084">
        <v>0</v>
      </c>
      <c r="E29" s="434">
        <v>0</v>
      </c>
      <c r="F29" s="1084">
        <v>0</v>
      </c>
      <c r="G29" s="1097">
        <v>437139</v>
      </c>
      <c r="H29"/>
      <c r="I29"/>
      <c r="J29"/>
      <c r="K29"/>
      <c r="L29" s="4"/>
    </row>
    <row r="30" spans="1:12" ht="12.75">
      <c r="A30" s="1076">
        <f>+A29+1</f>
        <v>16</v>
      </c>
      <c r="B30" s="1083" t="s">
        <v>579</v>
      </c>
      <c r="C30" s="1263"/>
      <c r="D30" s="1263"/>
      <c r="E30" s="1264"/>
      <c r="F30" s="1263"/>
      <c r="G30" s="1266"/>
      <c r="H30"/>
      <c r="I30"/>
      <c r="J30"/>
      <c r="K30"/>
      <c r="L30" s="4"/>
    </row>
    <row r="31" spans="1:12" ht="12.75">
      <c r="A31" s="1076">
        <f aca="true" t="shared" si="1" ref="A31:A42">+A30+1</f>
        <v>17</v>
      </c>
      <c r="B31" s="1087" t="s">
        <v>580</v>
      </c>
      <c r="C31" s="1263"/>
      <c r="D31" s="1263"/>
      <c r="E31" s="1264"/>
      <c r="F31" s="1263"/>
      <c r="G31" s="1266"/>
      <c r="H31"/>
      <c r="I31"/>
      <c r="J31"/>
      <c r="K31"/>
      <c r="L31" s="4"/>
    </row>
    <row r="32" spans="1:12" ht="12.75">
      <c r="A32" s="1076">
        <f t="shared" si="1"/>
        <v>18</v>
      </c>
      <c r="B32" s="1087" t="s">
        <v>727</v>
      </c>
      <c r="C32" s="1263"/>
      <c r="D32" s="1263"/>
      <c r="E32" s="1264"/>
      <c r="F32" s="1263"/>
      <c r="G32" s="1266"/>
      <c r="H32"/>
      <c r="I32"/>
      <c r="J32"/>
      <c r="K32"/>
      <c r="L32" s="4"/>
    </row>
    <row r="33" spans="1:12" ht="12.75">
      <c r="A33" s="1076">
        <f t="shared" si="1"/>
        <v>19</v>
      </c>
      <c r="B33" s="1087" t="s">
        <v>582</v>
      </c>
      <c r="C33" s="1263"/>
      <c r="D33" s="1263"/>
      <c r="E33" s="1264"/>
      <c r="F33" s="1263"/>
      <c r="G33" s="1266"/>
      <c r="H33"/>
      <c r="I33"/>
      <c r="J33"/>
      <c r="K33"/>
      <c r="L33" s="4"/>
    </row>
    <row r="34" spans="1:12" ht="12.75">
      <c r="A34" s="1076">
        <f t="shared" si="1"/>
        <v>20</v>
      </c>
      <c r="B34" s="1087" t="s">
        <v>583</v>
      </c>
      <c r="C34" s="1263"/>
      <c r="D34" s="1263"/>
      <c r="E34" s="1264"/>
      <c r="F34" s="1263"/>
      <c r="G34" s="1266"/>
      <c r="H34"/>
      <c r="I34"/>
      <c r="J34"/>
      <c r="K34"/>
      <c r="L34" s="4"/>
    </row>
    <row r="35" spans="1:12" ht="12.75">
      <c r="A35" s="1076">
        <f t="shared" si="1"/>
        <v>21</v>
      </c>
      <c r="B35" s="1087" t="s">
        <v>584</v>
      </c>
      <c r="C35" s="1263"/>
      <c r="D35" s="1263"/>
      <c r="E35" s="1264"/>
      <c r="F35" s="1263"/>
      <c r="G35" s="1266"/>
      <c r="H35"/>
      <c r="I35"/>
      <c r="J35"/>
      <c r="K35"/>
      <c r="L35" s="4"/>
    </row>
    <row r="36" spans="1:12" ht="12.75">
      <c r="A36" s="1076">
        <f t="shared" si="1"/>
        <v>22</v>
      </c>
      <c r="B36" s="1087" t="s">
        <v>585</v>
      </c>
      <c r="C36" s="1263"/>
      <c r="D36" s="1263"/>
      <c r="E36" s="1264"/>
      <c r="F36" s="1263"/>
      <c r="G36" s="1266"/>
      <c r="H36"/>
      <c r="I36"/>
      <c r="J36"/>
      <c r="K36"/>
      <c r="L36" s="4"/>
    </row>
    <row r="37" spans="1:12" ht="12.75">
      <c r="A37" s="1076">
        <f t="shared" si="1"/>
        <v>23</v>
      </c>
      <c r="B37" s="1087" t="s">
        <v>728</v>
      </c>
      <c r="C37" s="1263"/>
      <c r="D37" s="1263"/>
      <c r="E37" s="1264"/>
      <c r="F37" s="1263"/>
      <c r="G37" s="1266"/>
      <c r="H37"/>
      <c r="I37"/>
      <c r="J37"/>
      <c r="K37"/>
      <c r="L37" s="4"/>
    </row>
    <row r="38" spans="1:12" ht="12.75">
      <c r="A38" s="1076">
        <f t="shared" si="1"/>
        <v>24</v>
      </c>
      <c r="B38" s="1087" t="s">
        <v>587</v>
      </c>
      <c r="C38" s="1263"/>
      <c r="D38" s="1263"/>
      <c r="E38" s="1264"/>
      <c r="F38" s="1263"/>
      <c r="G38" s="1266"/>
      <c r="H38"/>
      <c r="I38"/>
      <c r="J38"/>
      <c r="K38"/>
      <c r="L38" s="4"/>
    </row>
    <row r="39" spans="1:12" ht="12.75">
      <c r="A39" s="1076">
        <f t="shared" si="1"/>
        <v>25</v>
      </c>
      <c r="B39" s="1087" t="s">
        <v>588</v>
      </c>
      <c r="C39" s="1263"/>
      <c r="D39" s="1263"/>
      <c r="E39" s="1264"/>
      <c r="F39" s="1263"/>
      <c r="G39" s="1266"/>
      <c r="H39"/>
      <c r="I39"/>
      <c r="J39"/>
      <c r="K39"/>
      <c r="L39" s="4"/>
    </row>
    <row r="40" spans="1:12" ht="12.75">
      <c r="A40" s="1076">
        <f t="shared" si="1"/>
        <v>26</v>
      </c>
      <c r="B40" s="1087" t="s">
        <v>589</v>
      </c>
      <c r="C40" s="1263"/>
      <c r="D40" s="1263"/>
      <c r="E40" s="1264"/>
      <c r="F40" s="1263"/>
      <c r="G40" s="1266"/>
      <c r="H40"/>
      <c r="I40"/>
      <c r="J40"/>
      <c r="K40"/>
      <c r="L40" s="4"/>
    </row>
    <row r="41" spans="1:12" ht="12.75">
      <c r="A41" s="1088">
        <f t="shared" si="1"/>
        <v>27</v>
      </c>
      <c r="B41" s="1089" t="s">
        <v>729</v>
      </c>
      <c r="C41" s="1084">
        <v>21001419</v>
      </c>
      <c r="D41" s="1084">
        <v>0</v>
      </c>
      <c r="E41" s="434">
        <v>189</v>
      </c>
      <c r="F41" s="1084">
        <v>0</v>
      </c>
      <c r="G41" s="1097">
        <v>1234551</v>
      </c>
      <c r="H41"/>
      <c r="I41"/>
      <c r="J41"/>
      <c r="K41"/>
      <c r="L41" s="4"/>
    </row>
    <row r="42" spans="1:12" ht="13.5" thickBot="1">
      <c r="A42" s="1098">
        <f t="shared" si="1"/>
        <v>28</v>
      </c>
      <c r="B42" s="1099" t="s">
        <v>792</v>
      </c>
      <c r="C42" s="1091">
        <f>(C29+C41)/2</f>
        <v>15768154</v>
      </c>
      <c r="D42" s="1091">
        <f>(D29+D41)/2</f>
        <v>0</v>
      </c>
      <c r="E42" s="1091">
        <f>(E29+E41)/2</f>
        <v>94.5</v>
      </c>
      <c r="F42" s="1091">
        <f>(F29+F41)/2</f>
        <v>0</v>
      </c>
      <c r="G42" s="1092">
        <f>(G29+G41)/2</f>
        <v>835845</v>
      </c>
      <c r="H42"/>
      <c r="I42"/>
      <c r="J42"/>
      <c r="K42"/>
      <c r="L42" s="4"/>
    </row>
    <row r="43" spans="1:12" ht="13.5" thickTop="1">
      <c r="A43" s="1064"/>
      <c r="B43" s="1093"/>
      <c r="C43" s="1094"/>
      <c r="D43" s="1095"/>
      <c r="E43" s="1095"/>
      <c r="F43" s="1095"/>
      <c r="G43" s="1094"/>
      <c r="H43"/>
      <c r="I43"/>
      <c r="J43"/>
      <c r="K43"/>
      <c r="L43" s="4"/>
    </row>
    <row r="44" spans="1:9" ht="12.75">
      <c r="A44" s="1064"/>
      <c r="B44" s="1093"/>
      <c r="C44" s="1094"/>
      <c r="D44" s="1095"/>
      <c r="E44" s="1095"/>
      <c r="F44" s="1095"/>
      <c r="G44" s="1094"/>
      <c r="H44" s="1094"/>
      <c r="I44" s="1094"/>
    </row>
    <row r="45" spans="1:6" ht="12.75">
      <c r="A45" s="1100"/>
      <c r="B45" s="1101"/>
      <c r="C45" s="1102"/>
      <c r="D45" s="1103"/>
      <c r="E45" s="1103"/>
      <c r="F45" s="1151"/>
    </row>
    <row r="46" spans="1:6" ht="72" customHeight="1">
      <c r="A46" s="1104" t="s">
        <v>714</v>
      </c>
      <c r="B46" s="1078" t="s">
        <v>715</v>
      </c>
      <c r="C46" s="1105" t="s">
        <v>732</v>
      </c>
      <c r="D46" s="1073" t="s">
        <v>733</v>
      </c>
      <c r="E46" s="1073" t="s">
        <v>734</v>
      </c>
      <c r="F46" s="1096" t="s">
        <v>735</v>
      </c>
    </row>
    <row r="47" spans="1:6" s="1080" customFormat="1" ht="12.75">
      <c r="A47" s="1076"/>
      <c r="B47" s="1078" t="s">
        <v>719</v>
      </c>
      <c r="C47" s="1106" t="s">
        <v>736</v>
      </c>
      <c r="D47" s="1078" t="s">
        <v>737</v>
      </c>
      <c r="E47" s="1078" t="s">
        <v>720</v>
      </c>
      <c r="F47" s="1077" t="s">
        <v>721</v>
      </c>
    </row>
    <row r="48" spans="1:6" s="1080" customFormat="1" ht="51">
      <c r="A48" s="1076"/>
      <c r="B48" s="1078" t="s">
        <v>725</v>
      </c>
      <c r="C48" s="1107" t="str">
        <f>"Company Records (included in total in column "&amp;C8&amp;" of gross plant above)"</f>
        <v>Company Records (included in total in column (d) of gross plant above)</v>
      </c>
      <c r="D48" s="1107" t="str">
        <f>"Company Records (included in total in column "&amp;C27&amp;" of accumulated depreciation above)"</f>
        <v>Company Records (included in total in column (d) of accumulated depreciation above)</v>
      </c>
      <c r="E48" s="1108" t="s">
        <v>731</v>
      </c>
      <c r="F48" s="1152" t="s">
        <v>731</v>
      </c>
    </row>
    <row r="49" spans="1:6" ht="12.75">
      <c r="A49" s="1076">
        <f>+A42+1</f>
        <v>29</v>
      </c>
      <c r="B49" s="1109" t="s">
        <v>726</v>
      </c>
      <c r="C49" s="1110">
        <v>0</v>
      </c>
      <c r="D49" s="1084">
        <v>0</v>
      </c>
      <c r="E49" s="1084">
        <v>0</v>
      </c>
      <c r="F49" s="1153">
        <v>0</v>
      </c>
    </row>
    <row r="50" spans="1:6" ht="12.75">
      <c r="A50" s="1076">
        <f>+A49+1</f>
        <v>30</v>
      </c>
      <c r="B50" s="1109" t="s">
        <v>579</v>
      </c>
      <c r="C50" s="1267"/>
      <c r="D50" s="1263"/>
      <c r="E50" s="1263"/>
      <c r="F50" s="1268">
        <v>0</v>
      </c>
    </row>
    <row r="51" spans="1:6" ht="12.75">
      <c r="A51" s="1076">
        <f aca="true" t="shared" si="2" ref="A51:A62">+A50+1</f>
        <v>31</v>
      </c>
      <c r="B51" s="1111" t="s">
        <v>580</v>
      </c>
      <c r="C51" s="1267"/>
      <c r="D51" s="1263"/>
      <c r="E51" s="1263"/>
      <c r="F51" s="1268">
        <v>0</v>
      </c>
    </row>
    <row r="52" spans="1:6" ht="12.75">
      <c r="A52" s="1076">
        <f t="shared" si="2"/>
        <v>32</v>
      </c>
      <c r="B52" s="1111" t="s">
        <v>727</v>
      </c>
      <c r="C52" s="1267"/>
      <c r="D52" s="1263"/>
      <c r="E52" s="1263"/>
      <c r="F52" s="1268">
        <v>0</v>
      </c>
    </row>
    <row r="53" spans="1:6" ht="12.75">
      <c r="A53" s="1076">
        <f t="shared" si="2"/>
        <v>33</v>
      </c>
      <c r="B53" s="1111" t="s">
        <v>582</v>
      </c>
      <c r="C53" s="1267"/>
      <c r="D53" s="1263"/>
      <c r="E53" s="1263"/>
      <c r="F53" s="1268">
        <v>0</v>
      </c>
    </row>
    <row r="54" spans="1:6" ht="12.75">
      <c r="A54" s="1076">
        <f t="shared" si="2"/>
        <v>34</v>
      </c>
      <c r="B54" s="1111" t="s">
        <v>583</v>
      </c>
      <c r="C54" s="1267"/>
      <c r="D54" s="1263"/>
      <c r="E54" s="1263"/>
      <c r="F54" s="1268">
        <v>0</v>
      </c>
    </row>
    <row r="55" spans="1:6" ht="12.75">
      <c r="A55" s="1076">
        <f t="shared" si="2"/>
        <v>35</v>
      </c>
      <c r="B55" s="1111" t="s">
        <v>584</v>
      </c>
      <c r="C55" s="1267"/>
      <c r="D55" s="1263"/>
      <c r="E55" s="1263"/>
      <c r="F55" s="1268">
        <v>0</v>
      </c>
    </row>
    <row r="56" spans="1:6" ht="12.75">
      <c r="A56" s="1076">
        <f t="shared" si="2"/>
        <v>36</v>
      </c>
      <c r="B56" s="1111" t="s">
        <v>585</v>
      </c>
      <c r="C56" s="1267"/>
      <c r="D56" s="1263"/>
      <c r="E56" s="1263"/>
      <c r="F56" s="1268">
        <v>0</v>
      </c>
    </row>
    <row r="57" spans="1:6" ht="12.75">
      <c r="A57" s="1076">
        <f t="shared" si="2"/>
        <v>37</v>
      </c>
      <c r="B57" s="1111" t="s">
        <v>728</v>
      </c>
      <c r="C57" s="1267"/>
      <c r="D57" s="1263"/>
      <c r="E57" s="1263"/>
      <c r="F57" s="1268">
        <v>0</v>
      </c>
    </row>
    <row r="58" spans="1:6" ht="12.75">
      <c r="A58" s="1076">
        <f t="shared" si="2"/>
        <v>38</v>
      </c>
      <c r="B58" s="1111" t="s">
        <v>587</v>
      </c>
      <c r="C58" s="1267"/>
      <c r="D58" s="1263"/>
      <c r="E58" s="1263"/>
      <c r="F58" s="1268">
        <v>0</v>
      </c>
    </row>
    <row r="59" spans="1:6" ht="12.75">
      <c r="A59" s="1076">
        <f t="shared" si="2"/>
        <v>39</v>
      </c>
      <c r="B59" s="1111" t="s">
        <v>588</v>
      </c>
      <c r="C59" s="1267"/>
      <c r="D59" s="1263"/>
      <c r="E59" s="1263"/>
      <c r="F59" s="1268">
        <v>0</v>
      </c>
    </row>
    <row r="60" spans="1:6" ht="12.75">
      <c r="A60" s="1076">
        <f t="shared" si="2"/>
        <v>40</v>
      </c>
      <c r="B60" s="1111" t="s">
        <v>589</v>
      </c>
      <c r="C60" s="1267"/>
      <c r="D60" s="1263"/>
      <c r="E60" s="1263"/>
      <c r="F60" s="1268">
        <v>0</v>
      </c>
    </row>
    <row r="61" spans="1:6" ht="12.75">
      <c r="A61" s="1088">
        <f t="shared" si="2"/>
        <v>41</v>
      </c>
      <c r="B61" s="1112" t="s">
        <v>729</v>
      </c>
      <c r="C61" s="1113">
        <v>0</v>
      </c>
      <c r="D61" s="1084">
        <v>0</v>
      </c>
      <c r="E61" s="1084">
        <v>0</v>
      </c>
      <c r="F61" s="1153">
        <v>0</v>
      </c>
    </row>
    <row r="62" spans="1:6" ht="13.5" thickBot="1">
      <c r="A62" s="1114">
        <f t="shared" si="2"/>
        <v>42</v>
      </c>
      <c r="B62" s="1115" t="s">
        <v>792</v>
      </c>
      <c r="C62" s="1116">
        <f>(C49+C61)/2</f>
        <v>0</v>
      </c>
      <c r="D62" s="1091">
        <f>(D49+D61)/2</f>
        <v>0</v>
      </c>
      <c r="E62" s="1091">
        <f>(E49+E61)/2</f>
        <v>0</v>
      </c>
      <c r="F62" s="1092">
        <f>(F49+F61)/2</f>
        <v>0</v>
      </c>
    </row>
    <row r="63" spans="1:11" ht="13.5" thickTop="1">
      <c r="A63" s="1064"/>
      <c r="B63" s="1093"/>
      <c r="I63" s="1095"/>
      <c r="K63" s="4"/>
    </row>
    <row r="64" spans="1:11" ht="12.75">
      <c r="A64" s="1064">
        <v>43</v>
      </c>
      <c r="B64" s="1093" t="s">
        <v>738</v>
      </c>
      <c r="C64" s="1117">
        <f>+C42-C62</f>
        <v>15768154</v>
      </c>
      <c r="I64" s="1095"/>
      <c r="K64" s="4"/>
    </row>
    <row r="65" ht="12.75"/>
    <row r="66" ht="12.75"/>
    <row r="67" spans="1:6" ht="25.5">
      <c r="A67" s="1119" t="s">
        <v>331</v>
      </c>
      <c r="B67" s="1120"/>
      <c r="C67" s="1121" t="s">
        <v>329</v>
      </c>
      <c r="D67" s="1122" t="str">
        <f>"Balance @ December 31, "&amp;TCOS!L2&amp;""</f>
        <v>Balance @ December 31, 2017</v>
      </c>
      <c r="E67" s="1123" t="str">
        <f>"Balance @ December 31, "&amp;TCOS!L2-1&amp;""</f>
        <v>Balance @ December 31, 2016</v>
      </c>
      <c r="F67" s="1123" t="str">
        <f>"Average Balance for "&amp;TCOS!L2&amp;""</f>
        <v>Average Balance for 2017</v>
      </c>
    </row>
    <row r="68" spans="1:6" ht="12.75">
      <c r="A68" s="1124"/>
      <c r="B68" s="1078" t="s">
        <v>719</v>
      </c>
      <c r="C68" s="1078" t="s">
        <v>736</v>
      </c>
      <c r="D68" s="1078" t="s">
        <v>737</v>
      </c>
      <c r="E68" s="1078" t="s">
        <v>720</v>
      </c>
      <c r="F68" s="1078" t="s">
        <v>721</v>
      </c>
    </row>
    <row r="69" spans="1:6" ht="12.75">
      <c r="A69" s="1125">
        <f>+A64+1</f>
        <v>44</v>
      </c>
      <c r="B69" s="1124" t="s">
        <v>331</v>
      </c>
      <c r="C69" s="1126" t="s">
        <v>178</v>
      </c>
      <c r="D69" s="1313">
        <v>0</v>
      </c>
      <c r="E69" s="1313">
        <v>0</v>
      </c>
      <c r="F69" s="1127">
        <f>IF(E69="",0,AVERAGE(D69:E69))</f>
        <v>0</v>
      </c>
    </row>
    <row r="70" spans="1:6" ht="12.75">
      <c r="A70" s="1128"/>
      <c r="B70" s="1129"/>
      <c r="C70" s="1129"/>
      <c r="D70" s="429"/>
      <c r="E70" s="429"/>
      <c r="F70" s="1130"/>
    </row>
    <row r="71" spans="1:6" ht="12.75">
      <c r="A71" s="1125">
        <f>+A69+1</f>
        <v>45</v>
      </c>
      <c r="B71" s="1124" t="s">
        <v>790</v>
      </c>
      <c r="C71" s="1126" t="s">
        <v>335</v>
      </c>
      <c r="D71" s="1313">
        <v>0</v>
      </c>
      <c r="E71" s="1313">
        <v>0</v>
      </c>
      <c r="F71" s="1127">
        <f>IF(E71="",0,AVERAGE(D71:E71))</f>
        <v>0</v>
      </c>
    </row>
    <row r="72" spans="1:4" ht="12.75">
      <c r="A72" s="4"/>
      <c r="B72" s="4"/>
      <c r="C72" s="4"/>
      <c r="D72" s="4"/>
    </row>
    <row r="73" spans="1:4" ht="12.75">
      <c r="A73" s="1124" t="s">
        <v>22</v>
      </c>
      <c r="B73" s="4"/>
      <c r="C73" s="4"/>
      <c r="D73" s="4"/>
    </row>
    <row r="74" spans="1:6" ht="12.75">
      <c r="A74" s="1131"/>
      <c r="B74" s="1129" t="s">
        <v>164</v>
      </c>
      <c r="C74" s="1129"/>
      <c r="D74" s="1129"/>
      <c r="E74" s="1129"/>
      <c r="F74" s="1129"/>
    </row>
    <row r="75" spans="1:6" ht="12.75">
      <c r="A75" s="1125">
        <f>+A71+1</f>
        <v>46</v>
      </c>
      <c r="B75" s="1132"/>
      <c r="C75" s="1132"/>
      <c r="D75" s="434"/>
      <c r="E75" s="434"/>
      <c r="F75" s="1127">
        <f>IF(E75="",0,AVERAGE(D75:E75))</f>
        <v>0</v>
      </c>
    </row>
    <row r="76" spans="1:6" ht="12.75">
      <c r="A76" s="1125">
        <f>+A75+1</f>
        <v>47</v>
      </c>
      <c r="B76" s="1132"/>
      <c r="C76" s="1132"/>
      <c r="D76" s="434"/>
      <c r="E76" s="434"/>
      <c r="F76" s="1127">
        <f>IF(E76="",0,AVERAGE(D76:E76))</f>
        <v>0</v>
      </c>
    </row>
    <row r="77" spans="1:6" ht="12.75">
      <c r="A77" s="1125">
        <f>+A76+1</f>
        <v>48</v>
      </c>
      <c r="B77" s="1132"/>
      <c r="C77" s="1132"/>
      <c r="D77" s="434"/>
      <c r="E77" s="434"/>
      <c r="F77" s="1127">
        <f>IF(E77="",0,AVERAGE(D77:E77))</f>
        <v>0</v>
      </c>
    </row>
    <row r="78" spans="1:6" ht="12.75">
      <c r="A78" s="1125">
        <f>+A77+1</f>
        <v>49</v>
      </c>
      <c r="B78" s="1132"/>
      <c r="C78" s="1132"/>
      <c r="D78" s="434"/>
      <c r="E78" s="434"/>
      <c r="F78" s="1127">
        <f>IF(E78="",0,AVERAGE(D78:E78))</f>
        <v>0</v>
      </c>
    </row>
    <row r="79" spans="1:6" ht="12.75">
      <c r="A79" s="1125">
        <f>+A78+1</f>
        <v>50</v>
      </c>
      <c r="B79" s="1132"/>
      <c r="C79" s="1132"/>
      <c r="D79" s="1133"/>
      <c r="E79" s="1133"/>
      <c r="F79" s="1134">
        <f>IF(E79="",0,AVERAGE(D79:E79))</f>
        <v>0</v>
      </c>
    </row>
    <row r="80" spans="1:6" ht="18" customHeight="1">
      <c r="A80" s="1125">
        <f>+A79+1</f>
        <v>51</v>
      </c>
      <c r="B80" s="1129" t="s">
        <v>739</v>
      </c>
      <c r="C80" s="1129"/>
      <c r="D80" s="1135">
        <f>SUM(D75:D79)</f>
        <v>0</v>
      </c>
      <c r="E80" s="1135">
        <f>SUM(E75:E79)</f>
        <v>0</v>
      </c>
      <c r="F80" s="1135">
        <f>SUM(F75:F79)</f>
        <v>0</v>
      </c>
    </row>
    <row r="81" spans="1:6" ht="17.25" customHeight="1">
      <c r="A81" s="1125"/>
      <c r="B81" s="1129"/>
      <c r="C81" s="1129"/>
      <c r="D81" s="1135"/>
      <c r="E81" s="1135"/>
      <c r="F81" s="1135"/>
    </row>
    <row r="82" spans="1:6" ht="18.75" customHeight="1">
      <c r="A82" s="1124" t="s">
        <v>740</v>
      </c>
      <c r="B82" s="1136"/>
      <c r="C82" s="1136"/>
      <c r="D82" s="1136"/>
      <c r="E82" s="1129"/>
      <c r="F82" s="1129"/>
    </row>
    <row r="83" spans="1:6" ht="31.5" customHeight="1">
      <c r="A83" s="1120"/>
      <c r="B83" s="1137"/>
      <c r="C83" s="1138"/>
      <c r="D83" s="5"/>
      <c r="E83" s="1129"/>
      <c r="F83" s="1129"/>
    </row>
    <row r="84" spans="1:6" ht="21.75" customHeight="1">
      <c r="A84" s="1120">
        <f>+A80+1</f>
        <v>52</v>
      </c>
      <c r="B84" s="1139" t="s">
        <v>468</v>
      </c>
      <c r="C84" s="1139" t="s">
        <v>111</v>
      </c>
      <c r="D84" s="1140"/>
      <c r="E84" s="9"/>
      <c r="F84" s="1139"/>
    </row>
    <row r="85" spans="1:6" ht="14.25">
      <c r="A85" s="1141" t="s">
        <v>741</v>
      </c>
      <c r="B85" s="1142"/>
      <c r="C85" s="1143"/>
      <c r="D85" s="434"/>
      <c r="E85" s="434"/>
      <c r="F85" s="1144">
        <f>IF(E85="",0,AVERAGE(D85:E85))</f>
        <v>0</v>
      </c>
    </row>
    <row r="86" spans="1:6" ht="14.25">
      <c r="A86" s="1145" t="s">
        <v>742</v>
      </c>
      <c r="B86" s="434"/>
      <c r="C86" s="1143"/>
      <c r="D86" s="434"/>
      <c r="E86" s="434"/>
      <c r="F86" s="1146">
        <f>IF(E86="",0,AVERAGE(D86:E86))</f>
        <v>0</v>
      </c>
    </row>
    <row r="87" spans="1:6" ht="18" customHeight="1">
      <c r="A87" s="1147">
        <f>A84+2</f>
        <v>54</v>
      </c>
      <c r="B87" s="9"/>
      <c r="C87" s="1148" t="s">
        <v>421</v>
      </c>
      <c r="D87" s="1117">
        <f>SUM(D85:D86)</f>
        <v>0</v>
      </c>
      <c r="E87" s="1117">
        <f>SUM(E85:E86)</f>
        <v>0</v>
      </c>
      <c r="F87" s="1117">
        <f>SUM(F85:F86)</f>
        <v>0</v>
      </c>
    </row>
    <row r="88" spans="1:4" ht="12.75">
      <c r="A88" s="1125"/>
      <c r="B88" s="1129"/>
      <c r="C88" s="1129"/>
      <c r="D88" s="1129"/>
    </row>
    <row r="89" spans="1:4" ht="12.75">
      <c r="A89" s="1149" t="s">
        <v>743</v>
      </c>
      <c r="B89" s="1129"/>
      <c r="C89" s="1129"/>
      <c r="D89" s="1129"/>
    </row>
    <row r="90" spans="1:4" ht="12.75">
      <c r="A90" s="1149" t="s">
        <v>744</v>
      </c>
      <c r="B90" s="1129"/>
      <c r="C90" s="1129"/>
      <c r="D90" s="1129"/>
    </row>
  </sheetData>
  <sheetProtection/>
  <mergeCells count="6">
    <mergeCell ref="A1:G1"/>
    <mergeCell ref="A2:G2"/>
    <mergeCell ref="A3:G3"/>
    <mergeCell ref="C6:G6"/>
    <mergeCell ref="C25:G25"/>
    <mergeCell ref="A4:G4"/>
  </mergeCells>
  <printOptions/>
  <pageMargins left="0.7" right="0.7" top="0.75" bottom="0.75" header="0.3" footer="0.3"/>
  <pageSetup cellComments="asDisplayed" fitToHeight="0" fitToWidth="1" horizontalDpi="600" verticalDpi="600" orientation="landscape" scale="67" r:id="rId1"/>
  <headerFooter>
    <oddHeader>&amp;RPage  &amp;P of &amp;N</oddHeader>
  </headerFooter>
  <rowBreaks count="1" manualBreakCount="1">
    <brk id="43" max="255"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B1:G35"/>
  <sheetViews>
    <sheetView defaultGridColor="0" zoomScale="70" zoomScaleNormal="70" zoomScalePageLayoutView="0" colorId="22" workbookViewId="0" topLeftCell="A1">
      <selection activeCell="A1" sqref="A1"/>
    </sheetView>
  </sheetViews>
  <sheetFormatPr defaultColWidth="14.7109375" defaultRowHeight="12.75"/>
  <cols>
    <col min="1" max="1" width="5.7109375" style="853" customWidth="1"/>
    <col min="2" max="2" width="42.57421875" style="853" customWidth="1"/>
    <col min="3" max="3" width="16.28125" style="853" bestFit="1" customWidth="1"/>
    <col min="4" max="4" width="16.8515625" style="853" customWidth="1"/>
    <col min="5" max="5" width="18.00390625" style="853" customWidth="1"/>
    <col min="6" max="7" width="16.28125" style="853" bestFit="1" customWidth="1"/>
    <col min="8" max="8" width="14.7109375" style="853" customWidth="1"/>
    <col min="9" max="16384" width="14.7109375" style="853" customWidth="1"/>
  </cols>
  <sheetData>
    <row r="1" spans="2:7" ht="19.5">
      <c r="B1" s="1497" t="str">
        <f>TCOS!$F$3</f>
        <v>AEPTCo subsidiaries in PJM</v>
      </c>
      <c r="C1" s="1497"/>
      <c r="D1" s="1497"/>
      <c r="E1" s="1497"/>
      <c r="F1" s="852"/>
      <c r="G1" s="852"/>
    </row>
    <row r="2" spans="2:7" ht="19.5">
      <c r="B2" s="1497" t="s">
        <v>225</v>
      </c>
      <c r="C2" s="1497"/>
      <c r="D2" s="1497"/>
      <c r="E2" s="1497"/>
      <c r="F2" s="852"/>
      <c r="G2" s="852"/>
    </row>
    <row r="3" spans="2:7" ht="19.5">
      <c r="B3" s="1497" t="s">
        <v>226</v>
      </c>
      <c r="C3" s="1497"/>
      <c r="D3" s="1497"/>
      <c r="E3" s="1497"/>
      <c r="F3" s="852"/>
      <c r="G3" s="852"/>
    </row>
    <row r="4" spans="2:7" ht="19.5">
      <c r="B4" s="1497" t="s">
        <v>227</v>
      </c>
      <c r="C4" s="1497"/>
      <c r="D4" s="1497"/>
      <c r="E4" s="1497"/>
      <c r="F4" s="852"/>
      <c r="G4" s="852"/>
    </row>
    <row r="5" spans="2:7" ht="19.5">
      <c r="B5" s="1498" t="s">
        <v>555</v>
      </c>
      <c r="C5" s="1498"/>
      <c r="D5" s="1498"/>
      <c r="E5" s="1498"/>
      <c r="F5" s="852"/>
      <c r="G5" s="852"/>
    </row>
    <row r="6" spans="2:7" ht="19.5">
      <c r="B6" s="1497"/>
      <c r="C6" s="1497"/>
      <c r="D6" s="1497"/>
      <c r="E6" s="1497"/>
      <c r="F6" s="852"/>
      <c r="G6" s="852"/>
    </row>
    <row r="7" spans="2:7" ht="19.5">
      <c r="B7" s="1499" t="str">
        <f>TCOS!F7</f>
        <v>AEP WEST VIRGINIA TRANSMISSION COMPANY</v>
      </c>
      <c r="C7" s="1409"/>
      <c r="D7" s="1409"/>
      <c r="E7" s="1409"/>
      <c r="F7" s="852"/>
      <c r="G7" s="852"/>
    </row>
    <row r="9" spans="2:4" ht="15">
      <c r="B9" s="854"/>
      <c r="C9" s="854"/>
      <c r="D9" s="855"/>
    </row>
    <row r="10" spans="2:4" ht="15" customHeight="1">
      <c r="B10" s="854"/>
      <c r="C10" s="854"/>
      <c r="D10" s="855"/>
    </row>
    <row r="11" spans="2:4" ht="15.75">
      <c r="B11" s="854"/>
      <c r="C11" s="856" t="s">
        <v>34</v>
      </c>
      <c r="D11" s="856" t="s">
        <v>36</v>
      </c>
    </row>
    <row r="12" spans="2:4" ht="16.5" thickBot="1">
      <c r="B12" s="855"/>
      <c r="C12" s="856" t="s">
        <v>35</v>
      </c>
      <c r="D12" s="857" t="s">
        <v>296</v>
      </c>
    </row>
    <row r="13" spans="2:4" ht="15">
      <c r="B13" s="858" t="s">
        <v>37</v>
      </c>
      <c r="C13" s="859"/>
      <c r="D13" s="130"/>
    </row>
    <row r="14" spans="2:4" ht="15">
      <c r="B14" s="860"/>
      <c r="C14" s="861"/>
      <c r="D14" s="131"/>
    </row>
    <row r="15" spans="2:5" ht="15">
      <c r="B15" s="862" t="s">
        <v>55</v>
      </c>
      <c r="C15" s="149">
        <v>350.1</v>
      </c>
      <c r="D15" s="150"/>
      <c r="E15" s="863"/>
    </row>
    <row r="16" spans="2:5" ht="15">
      <c r="B16" s="864" t="s">
        <v>38</v>
      </c>
      <c r="C16" s="149">
        <v>352</v>
      </c>
      <c r="D16" s="139">
        <v>0.0152</v>
      </c>
      <c r="E16" s="139"/>
    </row>
    <row r="17" spans="2:5" ht="15">
      <c r="B17" s="864" t="s">
        <v>39</v>
      </c>
      <c r="C17" s="149">
        <v>353</v>
      </c>
      <c r="D17" s="139">
        <v>0.0168</v>
      </c>
      <c r="E17" s="863"/>
    </row>
    <row r="18" spans="2:5" ht="15">
      <c r="B18" s="864" t="s">
        <v>40</v>
      </c>
      <c r="C18" s="149">
        <v>354</v>
      </c>
      <c r="D18" s="139">
        <v>0.0154</v>
      </c>
      <c r="E18" s="863"/>
    </row>
    <row r="19" spans="2:5" ht="15">
      <c r="B19" s="864" t="s">
        <v>41</v>
      </c>
      <c r="C19" s="149">
        <v>355</v>
      </c>
      <c r="D19" s="139">
        <v>0.0264</v>
      </c>
      <c r="E19" s="139"/>
    </row>
    <row r="20" spans="2:5" ht="15">
      <c r="B20" s="864" t="s">
        <v>42</v>
      </c>
      <c r="C20" s="149">
        <v>356</v>
      </c>
      <c r="D20" s="139">
        <v>0.0119</v>
      </c>
      <c r="E20" s="865"/>
    </row>
    <row r="21" spans="2:5" ht="15">
      <c r="B21" s="864" t="s">
        <v>43</v>
      </c>
      <c r="C21" s="149">
        <v>357</v>
      </c>
      <c r="D21" s="139">
        <v>0.0145</v>
      </c>
      <c r="E21" s="863"/>
    </row>
    <row r="22" spans="2:5" ht="15">
      <c r="B22" s="864" t="s">
        <v>44</v>
      </c>
      <c r="C22" s="149">
        <v>358</v>
      </c>
      <c r="D22" s="139">
        <v>0.0723</v>
      </c>
      <c r="E22" s="863"/>
    </row>
    <row r="23" spans="2:5" ht="15">
      <c r="B23" s="863"/>
      <c r="C23" s="863"/>
      <c r="D23" s="863"/>
      <c r="E23" s="863"/>
    </row>
    <row r="24" spans="2:5" ht="64.5" customHeight="1">
      <c r="B24" s="1500" t="s">
        <v>626</v>
      </c>
      <c r="C24" s="1501"/>
      <c r="D24" s="1501"/>
      <c r="E24" s="1501"/>
    </row>
    <row r="25" spans="2:5" ht="15">
      <c r="B25" s="866"/>
      <c r="C25" s="867"/>
      <c r="D25" s="867"/>
      <c r="E25" s="867"/>
    </row>
    <row r="26" spans="2:5" ht="15.75">
      <c r="B26" s="868" t="s">
        <v>73</v>
      </c>
      <c r="C26" s="869" t="s">
        <v>627</v>
      </c>
      <c r="D26" s="869" t="s">
        <v>628</v>
      </c>
      <c r="E26" s="870" t="s">
        <v>548</v>
      </c>
    </row>
    <row r="27" spans="2:5" ht="15">
      <c r="B27" s="871" t="s">
        <v>547</v>
      </c>
      <c r="C27" s="872">
        <v>1811822367</v>
      </c>
      <c r="D27" s="872">
        <v>29740179</v>
      </c>
      <c r="E27" s="873">
        <f>C27+D27</f>
        <v>1841562546</v>
      </c>
    </row>
    <row r="28" spans="2:5" ht="15">
      <c r="B28" s="871" t="s">
        <v>546</v>
      </c>
      <c r="C28" s="872">
        <v>1752450105</v>
      </c>
      <c r="D28" s="872">
        <v>25887202</v>
      </c>
      <c r="E28" s="873">
        <f>C28+D28</f>
        <v>1778337307</v>
      </c>
    </row>
    <row r="29" spans="2:5" ht="15">
      <c r="B29" s="871" t="s">
        <v>231</v>
      </c>
      <c r="C29" s="872">
        <f>AVERAGE(C27:C28)</f>
        <v>1782136236</v>
      </c>
      <c r="D29" s="872">
        <f>AVERAGE(D27:D28)</f>
        <v>27813690.5</v>
      </c>
      <c r="E29" s="873">
        <f>C29+D29</f>
        <v>1809949926.5</v>
      </c>
    </row>
    <row r="30" spans="2:5" ht="15">
      <c r="B30" s="874" t="s">
        <v>549</v>
      </c>
      <c r="C30" s="872">
        <v>29597240</v>
      </c>
      <c r="D30" s="872">
        <v>752928</v>
      </c>
      <c r="E30" s="873">
        <f>C30+D30</f>
        <v>30350168</v>
      </c>
    </row>
    <row r="31" spans="2:5" ht="15.75">
      <c r="B31" s="875" t="s">
        <v>45</v>
      </c>
      <c r="C31" s="876" t="s">
        <v>417</v>
      </c>
      <c r="D31" s="876" t="s">
        <v>417</v>
      </c>
      <c r="E31" s="877">
        <f>E30/E29</f>
        <v>0.016768512518293692</v>
      </c>
    </row>
    <row r="32" spans="2:5" ht="15">
      <c r="B32" s="878"/>
      <c r="C32" s="879"/>
      <c r="D32" s="878"/>
      <c r="E32" s="878"/>
    </row>
    <row r="33" spans="2:5" ht="15">
      <c r="B33" s="1495" t="s">
        <v>633</v>
      </c>
      <c r="C33" s="1496"/>
      <c r="D33" s="1496"/>
      <c r="E33" s="1496"/>
    </row>
    <row r="34" spans="2:5" ht="15">
      <c r="B34" s="1496"/>
      <c r="C34" s="1496"/>
      <c r="D34" s="1496"/>
      <c r="E34" s="1496"/>
    </row>
    <row r="35" spans="2:5" ht="63" customHeight="1">
      <c r="B35" s="1496"/>
      <c r="C35" s="1496"/>
      <c r="D35" s="1496"/>
      <c r="E35" s="1496"/>
    </row>
  </sheetData>
  <sheetProtection/>
  <mergeCells count="9">
    <mergeCell ref="B33:E35"/>
    <mergeCell ref="B1:E1"/>
    <mergeCell ref="B2:E2"/>
    <mergeCell ref="B3:E3"/>
    <mergeCell ref="B4:E4"/>
    <mergeCell ref="B5:E5"/>
    <mergeCell ref="B6:E6"/>
    <mergeCell ref="B7:E7"/>
    <mergeCell ref="B24:E24"/>
  </mergeCells>
  <conditionalFormatting sqref="B36:E65536 F2:G7 H1:IV8 B1:B7 C2:E6 B9:IV9 F10:IV65536">
    <cfRule type="cellIs" priority="2" dxfId="0" operator="lessThan" stopIfTrue="1">
      <formula>0</formula>
    </cfRule>
  </conditionalFormatting>
  <conditionalFormatting sqref="B10:C21 D32 B24:B30 B22:D22 B32:B33 D10:D11 E10:E23 D13:D21 C26:E31">
    <cfRule type="cellIs" priority="1" dxfId="0" operator="lessThan" stopIfTrue="1">
      <formula>0</formula>
    </cfRule>
  </conditionalFormatting>
  <printOptions/>
  <pageMargins left="0.55" right="0.55" top="1.25" bottom="0.75" header="0.75" footer="0.27"/>
  <pageSetup fitToHeight="1" fitToWidth="1" horizontalDpi="600" verticalDpi="600" orientation="portrait" scale="83" r:id="rId1"/>
  <headerFooter alignWithMargins="0">
    <oddHeader>&amp;RFormula Rate 
&amp;A
Page &amp;P of &amp;N</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237"/>
  <sheetViews>
    <sheetView zoomScale="75" zoomScaleNormal="75" zoomScaleSheetLayoutView="75" zoomScalePageLayoutView="0" workbookViewId="0" topLeftCell="A1">
      <selection activeCell="A2" sqref="A1:IV2"/>
    </sheetView>
  </sheetViews>
  <sheetFormatPr defaultColWidth="9.140625" defaultRowHeight="12.75"/>
  <cols>
    <col min="1" max="1" width="4.57421875" style="880" customWidth="1"/>
    <col min="2" max="2" width="68.140625" style="880" customWidth="1"/>
    <col min="3" max="3" width="18.140625" style="880" customWidth="1"/>
    <col min="4" max="4" width="2.140625" style="880" customWidth="1"/>
    <col min="5" max="5" width="17.28125" style="880" customWidth="1"/>
    <col min="6" max="6" width="16.28125" style="880" customWidth="1"/>
    <col min="7" max="7" width="14.57421875" style="880" customWidth="1"/>
    <col min="8" max="8" width="17.57421875" style="880" customWidth="1"/>
    <col min="9" max="9" width="14.421875" style="880" customWidth="1"/>
    <col min="10" max="10" width="15.7109375" style="880" customWidth="1"/>
    <col min="11" max="16384" width="9.140625" style="880" customWidth="1"/>
  </cols>
  <sheetData>
    <row r="1" spans="1:10" ht="12.75">
      <c r="A1" s="1502" t="s">
        <v>516</v>
      </c>
      <c r="B1" s="1502"/>
      <c r="C1" s="1502"/>
      <c r="D1" s="1502"/>
      <c r="E1" s="1502"/>
      <c r="F1" s="1502"/>
      <c r="G1" s="1502"/>
      <c r="H1" s="1502"/>
      <c r="I1" s="1502"/>
      <c r="J1" s="1502"/>
    </row>
    <row r="2" spans="1:10" ht="12.75">
      <c r="A2" s="1502" t="str">
        <f>"Consolidation of Operating Companies' Capital Structure @ December 31, "&amp;TCOS!L2&amp;""</f>
        <v>Consolidation of Operating Companies' Capital Structure @ December 31, 2017</v>
      </c>
      <c r="B2" s="1502"/>
      <c r="C2" s="1502"/>
      <c r="D2" s="1502"/>
      <c r="E2" s="1502"/>
      <c r="F2" s="1502"/>
      <c r="G2" s="1502"/>
      <c r="H2" s="1502"/>
      <c r="I2" s="1502"/>
      <c r="J2" s="1502"/>
    </row>
    <row r="3" spans="1:10" ht="12.75">
      <c r="A3" s="1502" t="s">
        <v>257</v>
      </c>
      <c r="B3" s="1502"/>
      <c r="C3" s="1502"/>
      <c r="D3" s="1502"/>
      <c r="E3" s="1502"/>
      <c r="F3" s="1502"/>
      <c r="G3" s="1502"/>
      <c r="H3" s="1502"/>
      <c r="I3" s="1502"/>
      <c r="J3" s="1502"/>
    </row>
    <row r="5" spans="1:10" ht="76.5">
      <c r="A5" s="880" t="s">
        <v>470</v>
      </c>
      <c r="C5" s="881" t="s">
        <v>517</v>
      </c>
      <c r="D5" s="881"/>
      <c r="E5" s="881" t="s">
        <v>518</v>
      </c>
      <c r="F5" s="881" t="s">
        <v>519</v>
      </c>
      <c r="G5" s="881" t="s">
        <v>520</v>
      </c>
      <c r="H5" s="881" t="s">
        <v>521</v>
      </c>
      <c r="I5" s="881" t="s">
        <v>522</v>
      </c>
      <c r="J5" s="881" t="s">
        <v>523</v>
      </c>
    </row>
    <row r="6" ht="15">
      <c r="A6" s="838" t="s">
        <v>524</v>
      </c>
    </row>
    <row r="7" spans="1:10" ht="12.75">
      <c r="A7" s="880">
        <v>1</v>
      </c>
      <c r="B7" s="842" t="s">
        <v>347</v>
      </c>
      <c r="C7" s="845"/>
      <c r="D7" s="845"/>
      <c r="E7" s="845"/>
      <c r="F7" s="845"/>
      <c r="G7" s="845"/>
      <c r="H7" s="845"/>
      <c r="I7" s="845"/>
      <c r="J7" s="825">
        <f>SUM(C7:I7)</f>
        <v>0</v>
      </c>
    </row>
    <row r="8" spans="1:10" ht="12.75">
      <c r="A8" s="880">
        <f>A7+1</f>
        <v>2</v>
      </c>
      <c r="B8" s="842" t="s">
        <v>348</v>
      </c>
      <c r="C8" s="845"/>
      <c r="D8" s="845"/>
      <c r="E8" s="845"/>
      <c r="F8" s="845"/>
      <c r="G8" s="845"/>
      <c r="H8" s="845"/>
      <c r="I8" s="845"/>
      <c r="J8" s="825">
        <f>SUM(C8:I8)</f>
        <v>0</v>
      </c>
    </row>
    <row r="9" spans="1:10" ht="12.75">
      <c r="A9" s="880">
        <f>A8+1</f>
        <v>3</v>
      </c>
      <c r="B9" s="843" t="s">
        <v>24</v>
      </c>
      <c r="C9" s="845"/>
      <c r="D9" s="845"/>
      <c r="E9" s="845"/>
      <c r="F9" s="845"/>
      <c r="G9" s="845"/>
      <c r="H9" s="845"/>
      <c r="I9" s="845"/>
      <c r="J9" s="825">
        <f>SUM(C9:I9)</f>
        <v>0</v>
      </c>
    </row>
    <row r="10" spans="1:10" ht="12.75">
      <c r="A10" s="880">
        <f>A9+1</f>
        <v>4</v>
      </c>
      <c r="B10" s="843" t="s">
        <v>18</v>
      </c>
      <c r="C10" s="845"/>
      <c r="D10" s="845"/>
      <c r="E10" s="845"/>
      <c r="F10" s="845"/>
      <c r="G10" s="845"/>
      <c r="H10" s="845"/>
      <c r="I10" s="845"/>
      <c r="J10" s="825">
        <f>SUM(C10:I10)</f>
        <v>0</v>
      </c>
    </row>
    <row r="11" spans="1:10" ht="12.75">
      <c r="A11" s="880">
        <f>A10+1</f>
        <v>5</v>
      </c>
      <c r="B11" s="843" t="str">
        <f>"Less: Fair Value Hedges (See Note on Ln "&amp;A14&amp;" below)"</f>
        <v>Less: Fair Value Hedges (See Note on Ln 7 below)</v>
      </c>
      <c r="C11" s="145"/>
      <c r="D11" s="145"/>
      <c r="E11" s="145"/>
      <c r="F11" s="145"/>
      <c r="G11" s="145"/>
      <c r="H11" s="145"/>
      <c r="I11" s="145"/>
      <c r="J11" s="882">
        <f>SUM(C11:I11)</f>
        <v>0</v>
      </c>
    </row>
    <row r="12" spans="1:10" ht="12.75">
      <c r="A12" s="880">
        <f>A11+1</f>
        <v>6</v>
      </c>
      <c r="B12" s="844" t="s">
        <v>68</v>
      </c>
      <c r="C12" s="883">
        <f aca="true" t="shared" si="0" ref="C12:J12">C7-C8+C9+C10-C11</f>
        <v>0</v>
      </c>
      <c r="D12" s="883"/>
      <c r="E12" s="883">
        <f t="shared" si="0"/>
        <v>0</v>
      </c>
      <c r="F12" s="883">
        <f t="shared" si="0"/>
        <v>0</v>
      </c>
      <c r="G12" s="883">
        <f t="shared" si="0"/>
        <v>0</v>
      </c>
      <c r="H12" s="883">
        <f t="shared" si="0"/>
        <v>0</v>
      </c>
      <c r="I12" s="883">
        <f t="shared" si="0"/>
        <v>0</v>
      </c>
      <c r="J12" s="883">
        <f t="shared" si="0"/>
        <v>0</v>
      </c>
    </row>
    <row r="14" spans="1:10" ht="12.75" customHeight="1">
      <c r="A14" s="880">
        <f>A12+1</f>
        <v>7</v>
      </c>
      <c r="B14" s="1503" t="s">
        <v>557</v>
      </c>
      <c r="C14" s="1503"/>
      <c r="D14" s="1503"/>
      <c r="E14" s="1503"/>
      <c r="F14" s="1503"/>
      <c r="G14" s="1503"/>
      <c r="H14" s="1503"/>
      <c r="I14" s="1503"/>
      <c r="J14" s="1503"/>
    </row>
    <row r="15" spans="2:10" ht="12.75" customHeight="1">
      <c r="B15" s="884"/>
      <c r="C15" s="884"/>
      <c r="D15" s="884"/>
      <c r="E15" s="884"/>
      <c r="F15" s="884"/>
      <c r="G15" s="884"/>
      <c r="H15" s="884"/>
      <c r="I15" s="884"/>
      <c r="J15" s="884"/>
    </row>
    <row r="16" ht="15">
      <c r="A16" s="838" t="s">
        <v>525</v>
      </c>
    </row>
    <row r="17" spans="1:10" ht="12.75">
      <c r="A17" s="880">
        <f>A14+1</f>
        <v>8</v>
      </c>
      <c r="B17" s="842" t="s">
        <v>349</v>
      </c>
      <c r="C17" s="144"/>
      <c r="D17" s="144"/>
      <c r="E17" s="144"/>
      <c r="F17" s="144"/>
      <c r="G17" s="144"/>
      <c r="H17" s="144"/>
      <c r="I17" s="144"/>
      <c r="J17" s="483">
        <f aca="true" t="shared" si="1" ref="J17:J22">SUM(C17:I17)</f>
        <v>0</v>
      </c>
    </row>
    <row r="18" spans="1:10" ht="12.75">
      <c r="A18" s="880">
        <f aca="true" t="shared" si="2" ref="A18:A23">A17+1</f>
        <v>9</v>
      </c>
      <c r="B18" s="842" t="s">
        <v>342</v>
      </c>
      <c r="C18" s="144"/>
      <c r="D18" s="144"/>
      <c r="E18" s="144"/>
      <c r="F18" s="144"/>
      <c r="G18" s="144"/>
      <c r="H18" s="144"/>
      <c r="I18" s="144"/>
      <c r="J18" s="483">
        <f t="shared" si="1"/>
        <v>0</v>
      </c>
    </row>
    <row r="19" spans="1:10" ht="12.75">
      <c r="A19" s="880">
        <f t="shared" si="2"/>
        <v>10</v>
      </c>
      <c r="B19" s="842" t="s">
        <v>343</v>
      </c>
      <c r="C19" s="144"/>
      <c r="D19" s="144"/>
      <c r="E19" s="144"/>
      <c r="F19" s="144"/>
      <c r="G19" s="144"/>
      <c r="H19" s="144"/>
      <c r="I19" s="144"/>
      <c r="J19" s="483">
        <f t="shared" si="1"/>
        <v>0</v>
      </c>
    </row>
    <row r="20" spans="1:10" ht="12.75">
      <c r="A20" s="880">
        <f t="shared" si="2"/>
        <v>11</v>
      </c>
      <c r="B20" s="842" t="s">
        <v>344</v>
      </c>
      <c r="C20" s="845"/>
      <c r="D20" s="845"/>
      <c r="E20" s="845"/>
      <c r="F20" s="845"/>
      <c r="G20" s="845"/>
      <c r="H20" s="845"/>
      <c r="I20" s="845"/>
      <c r="J20" s="825">
        <f t="shared" si="1"/>
        <v>0</v>
      </c>
    </row>
    <row r="21" spans="1:10" ht="12.75">
      <c r="A21" s="880">
        <f t="shared" si="2"/>
        <v>12</v>
      </c>
      <c r="B21" s="842" t="s">
        <v>345</v>
      </c>
      <c r="C21" s="845"/>
      <c r="D21" s="845"/>
      <c r="E21" s="845"/>
      <c r="F21" s="845"/>
      <c r="G21" s="845"/>
      <c r="H21" s="845"/>
      <c r="I21" s="845"/>
      <c r="J21" s="825">
        <f t="shared" si="1"/>
        <v>0</v>
      </c>
    </row>
    <row r="22" spans="1:10" ht="12.75">
      <c r="A22" s="880">
        <f t="shared" si="2"/>
        <v>13</v>
      </c>
      <c r="B22" s="885" t="s">
        <v>526</v>
      </c>
      <c r="C22" s="145"/>
      <c r="D22" s="145"/>
      <c r="E22" s="145"/>
      <c r="F22" s="145"/>
      <c r="G22" s="145"/>
      <c r="H22" s="145"/>
      <c r="I22" s="145"/>
      <c r="J22" s="882">
        <f t="shared" si="1"/>
        <v>0</v>
      </c>
    </row>
    <row r="23" spans="1:10" ht="12.75">
      <c r="A23" s="880">
        <f t="shared" si="2"/>
        <v>14</v>
      </c>
      <c r="B23" s="886" t="s">
        <v>69</v>
      </c>
      <c r="C23" s="887">
        <f aca="true" t="shared" si="3" ref="C23:J23">C17+C18+C19-C20-C21-C22</f>
        <v>0</v>
      </c>
      <c r="D23" s="887"/>
      <c r="E23" s="887">
        <f t="shared" si="3"/>
        <v>0</v>
      </c>
      <c r="F23" s="887">
        <f t="shared" si="3"/>
        <v>0</v>
      </c>
      <c r="G23" s="887">
        <f t="shared" si="3"/>
        <v>0</v>
      </c>
      <c r="H23" s="887">
        <f t="shared" si="3"/>
        <v>0</v>
      </c>
      <c r="I23" s="887">
        <f t="shared" si="3"/>
        <v>0</v>
      </c>
      <c r="J23" s="887">
        <f t="shared" si="3"/>
        <v>0</v>
      </c>
    </row>
    <row r="25" spans="1:5" ht="15">
      <c r="A25" s="838" t="s">
        <v>527</v>
      </c>
      <c r="B25" s="888"/>
      <c r="C25" s="888"/>
      <c r="D25" s="888"/>
      <c r="E25" s="888"/>
    </row>
    <row r="26" spans="1:10" ht="12.75">
      <c r="A26" s="880">
        <f>A23+1</f>
        <v>15</v>
      </c>
      <c r="B26" s="841" t="s">
        <v>528</v>
      </c>
      <c r="C26" s="846"/>
      <c r="D26" s="909"/>
      <c r="E26" s="910"/>
      <c r="F26" s="909"/>
      <c r="G26" s="909"/>
      <c r="H26" s="846"/>
      <c r="I26" s="909"/>
      <c r="J26" s="889"/>
    </row>
    <row r="27" spans="1:10" ht="12.75">
      <c r="A27" s="880">
        <f>A26+1</f>
        <v>16</v>
      </c>
      <c r="B27" s="841" t="s">
        <v>529</v>
      </c>
      <c r="C27" s="847"/>
      <c r="D27" s="911"/>
      <c r="E27" s="847"/>
      <c r="F27" s="911"/>
      <c r="G27" s="911"/>
      <c r="H27" s="847"/>
      <c r="I27" s="911"/>
      <c r="J27" s="890"/>
    </row>
    <row r="28" spans="1:9" ht="12.75">
      <c r="A28" s="880">
        <f>A27+1</f>
        <v>17</v>
      </c>
      <c r="B28" s="841" t="s">
        <v>530</v>
      </c>
      <c r="C28" s="144"/>
      <c r="D28" s="912"/>
      <c r="E28" s="144"/>
      <c r="F28" s="912"/>
      <c r="G28" s="912"/>
      <c r="H28" s="144"/>
      <c r="I28" s="912"/>
    </row>
    <row r="29" spans="1:10" ht="12.75">
      <c r="A29" s="880">
        <f>A28+1</f>
        <v>18</v>
      </c>
      <c r="B29" s="841" t="str">
        <f>"Monetary Value (Ln "&amp;A27&amp;" * Ln "&amp;A28&amp;")"</f>
        <v>Monetary Value (Ln 16 * Ln 17)</v>
      </c>
      <c r="C29" s="482">
        <f aca="true" t="shared" si="4" ref="C29:I29">C27*C28</f>
        <v>0</v>
      </c>
      <c r="D29" s="482"/>
      <c r="E29" s="482">
        <f t="shared" si="4"/>
        <v>0</v>
      </c>
      <c r="F29" s="482">
        <f t="shared" si="4"/>
        <v>0</v>
      </c>
      <c r="G29" s="482">
        <f t="shared" si="4"/>
        <v>0</v>
      </c>
      <c r="H29" s="482">
        <f t="shared" si="4"/>
        <v>0</v>
      </c>
      <c r="I29" s="482">
        <f t="shared" si="4"/>
        <v>0</v>
      </c>
      <c r="J29" s="887">
        <f>SUM(C29:I29)</f>
        <v>0</v>
      </c>
    </row>
    <row r="30" spans="1:10" ht="12.75">
      <c r="A30" s="880">
        <f>A29+1</f>
        <v>19</v>
      </c>
      <c r="B30" s="841" t="str">
        <f>"Dividend Amount (Ln "&amp;A26&amp;" * Ln "&amp;A29&amp;")"</f>
        <v>Dividend Amount (Ln 15 * Ln 18)</v>
      </c>
      <c r="C30" s="482">
        <f aca="true" t="shared" si="5" ref="C30:I30">C29*C26</f>
        <v>0</v>
      </c>
      <c r="D30" s="482"/>
      <c r="E30" s="482">
        <f t="shared" si="5"/>
        <v>0</v>
      </c>
      <c r="F30" s="482">
        <f t="shared" si="5"/>
        <v>0</v>
      </c>
      <c r="G30" s="482">
        <f t="shared" si="5"/>
        <v>0</v>
      </c>
      <c r="H30" s="482">
        <f t="shared" si="5"/>
        <v>0</v>
      </c>
      <c r="I30" s="482">
        <f t="shared" si="5"/>
        <v>0</v>
      </c>
      <c r="J30" s="887">
        <f>SUM(C30:I30)</f>
        <v>0</v>
      </c>
    </row>
    <row r="32" spans="1:9" ht="12.75">
      <c r="A32" s="880">
        <f>A30+1</f>
        <v>20</v>
      </c>
      <c r="B32" s="841" t="s">
        <v>528</v>
      </c>
      <c r="C32" s="846"/>
      <c r="D32" s="909"/>
      <c r="E32" s="910"/>
      <c r="F32" s="909"/>
      <c r="G32" s="909"/>
      <c r="H32" s="846"/>
      <c r="I32" s="909"/>
    </row>
    <row r="33" spans="1:9" ht="12.75">
      <c r="A33" s="880">
        <f>A32+1</f>
        <v>21</v>
      </c>
      <c r="B33" s="841" t="s">
        <v>529</v>
      </c>
      <c r="C33" s="847"/>
      <c r="D33" s="911"/>
      <c r="E33" s="847"/>
      <c r="F33" s="911"/>
      <c r="G33" s="911"/>
      <c r="H33" s="847"/>
      <c r="I33" s="911"/>
    </row>
    <row r="34" spans="1:9" ht="12.75">
      <c r="A34" s="880">
        <f>A33+1</f>
        <v>22</v>
      </c>
      <c r="B34" s="841" t="s">
        <v>530</v>
      </c>
      <c r="C34" s="144"/>
      <c r="D34" s="912"/>
      <c r="E34" s="144"/>
      <c r="F34" s="912"/>
      <c r="G34" s="912"/>
      <c r="H34" s="144"/>
      <c r="I34" s="912"/>
    </row>
    <row r="35" spans="1:10" ht="12.75">
      <c r="A35" s="880">
        <f>A34+1</f>
        <v>23</v>
      </c>
      <c r="B35" s="841" t="str">
        <f>"Monetary Value (Ln "&amp;A33&amp;" * Ln "&amp;A34&amp;")"</f>
        <v>Monetary Value (Ln 21 * Ln 22)</v>
      </c>
      <c r="C35" s="482">
        <f aca="true" t="shared" si="6" ref="C35:I35">C33*C34</f>
        <v>0</v>
      </c>
      <c r="D35" s="482"/>
      <c r="E35" s="482">
        <f t="shared" si="6"/>
        <v>0</v>
      </c>
      <c r="F35" s="482">
        <f t="shared" si="6"/>
        <v>0</v>
      </c>
      <c r="G35" s="482">
        <f t="shared" si="6"/>
        <v>0</v>
      </c>
      <c r="H35" s="482">
        <f t="shared" si="6"/>
        <v>0</v>
      </c>
      <c r="I35" s="482">
        <f t="shared" si="6"/>
        <v>0</v>
      </c>
      <c r="J35" s="887">
        <f>SUM(C35:I35)</f>
        <v>0</v>
      </c>
    </row>
    <row r="36" spans="1:10" ht="12.75">
      <c r="A36" s="880">
        <f>A35+1</f>
        <v>24</v>
      </c>
      <c r="B36" s="841" t="str">
        <f>"Dividend Amount (Ln "&amp;A32&amp;" * Ln "&amp;A35&amp;")"</f>
        <v>Dividend Amount (Ln 20 * Ln 23)</v>
      </c>
      <c r="C36" s="482">
        <f aca="true" t="shared" si="7" ref="C36:I36">C35*C32</f>
        <v>0</v>
      </c>
      <c r="D36" s="482"/>
      <c r="E36" s="482">
        <f t="shared" si="7"/>
        <v>0</v>
      </c>
      <c r="F36" s="482">
        <f t="shared" si="7"/>
        <v>0</v>
      </c>
      <c r="G36" s="482">
        <f t="shared" si="7"/>
        <v>0</v>
      </c>
      <c r="H36" s="482">
        <f t="shared" si="7"/>
        <v>0</v>
      </c>
      <c r="I36" s="482">
        <f t="shared" si="7"/>
        <v>0</v>
      </c>
      <c r="J36" s="887">
        <f>SUM(C36:I36)</f>
        <v>0</v>
      </c>
    </row>
    <row r="38" spans="1:9" ht="12.75">
      <c r="A38" s="880">
        <f>A36+1</f>
        <v>25</v>
      </c>
      <c r="B38" s="841" t="s">
        <v>528</v>
      </c>
      <c r="C38" s="846"/>
      <c r="D38" s="909"/>
      <c r="E38" s="910"/>
      <c r="F38" s="909"/>
      <c r="G38" s="909"/>
      <c r="H38" s="846"/>
      <c r="I38" s="909"/>
    </row>
    <row r="39" spans="1:9" ht="12.75">
      <c r="A39" s="880">
        <f>A38+1</f>
        <v>26</v>
      </c>
      <c r="B39" s="841" t="s">
        <v>529</v>
      </c>
      <c r="C39" s="847"/>
      <c r="D39" s="911"/>
      <c r="E39" s="847"/>
      <c r="F39" s="911"/>
      <c r="G39" s="911"/>
      <c r="H39" s="847"/>
      <c r="I39" s="911"/>
    </row>
    <row r="40" spans="1:9" ht="12.75">
      <c r="A40" s="880">
        <f>A39+1</f>
        <v>27</v>
      </c>
      <c r="B40" s="841" t="s">
        <v>530</v>
      </c>
      <c r="C40" s="144"/>
      <c r="D40" s="912"/>
      <c r="E40" s="144"/>
      <c r="F40" s="912"/>
      <c r="G40" s="912"/>
      <c r="H40" s="144"/>
      <c r="I40" s="912"/>
    </row>
    <row r="41" spans="1:10" ht="12.75">
      <c r="A41" s="880">
        <f>A40+1</f>
        <v>28</v>
      </c>
      <c r="B41" s="841" t="str">
        <f>"Monetary Value (Ln "&amp;A39&amp;" * Ln "&amp;A40&amp;")"</f>
        <v>Monetary Value (Ln 26 * Ln 27)</v>
      </c>
      <c r="C41" s="482">
        <f aca="true" t="shared" si="8" ref="C41:I41">C39*C40</f>
        <v>0</v>
      </c>
      <c r="D41" s="482"/>
      <c r="E41" s="482">
        <f t="shared" si="8"/>
        <v>0</v>
      </c>
      <c r="F41" s="482">
        <f t="shared" si="8"/>
        <v>0</v>
      </c>
      <c r="G41" s="482">
        <f t="shared" si="8"/>
        <v>0</v>
      </c>
      <c r="H41" s="482">
        <f t="shared" si="8"/>
        <v>0</v>
      </c>
      <c r="I41" s="482">
        <f t="shared" si="8"/>
        <v>0</v>
      </c>
      <c r="J41" s="887">
        <f>SUM(C41:I41)</f>
        <v>0</v>
      </c>
    </row>
    <row r="42" spans="1:10" ht="12.75">
      <c r="A42" s="880">
        <f>A41+1</f>
        <v>29</v>
      </c>
      <c r="B42" s="841" t="str">
        <f>"Dividend Amount (Ln "&amp;A38&amp;" * Ln "&amp;A41&amp;")"</f>
        <v>Dividend Amount (Ln 25 * Ln 28)</v>
      </c>
      <c r="C42" s="482">
        <f aca="true" t="shared" si="9" ref="C42:I42">C41*C38</f>
        <v>0</v>
      </c>
      <c r="D42" s="482"/>
      <c r="E42" s="482">
        <f t="shared" si="9"/>
        <v>0</v>
      </c>
      <c r="F42" s="482">
        <f t="shared" si="9"/>
        <v>0</v>
      </c>
      <c r="G42" s="482">
        <f t="shared" si="9"/>
        <v>0</v>
      </c>
      <c r="H42" s="482">
        <f t="shared" si="9"/>
        <v>0</v>
      </c>
      <c r="I42" s="482">
        <f t="shared" si="9"/>
        <v>0</v>
      </c>
      <c r="J42" s="887">
        <f>SUM(C42:I42)</f>
        <v>0</v>
      </c>
    </row>
    <row r="44" spans="1:9" ht="12.75">
      <c r="A44" s="880">
        <f>A42+1</f>
        <v>30</v>
      </c>
      <c r="B44" s="841" t="s">
        <v>528</v>
      </c>
      <c r="C44" s="846"/>
      <c r="D44" s="909"/>
      <c r="E44" s="910"/>
      <c r="F44" s="909"/>
      <c r="G44" s="909"/>
      <c r="H44" s="846"/>
      <c r="I44" s="909"/>
    </row>
    <row r="45" spans="1:9" ht="12.75">
      <c r="A45" s="880">
        <f>A44+1</f>
        <v>31</v>
      </c>
      <c r="B45" s="841" t="s">
        <v>529</v>
      </c>
      <c r="C45" s="847"/>
      <c r="D45" s="911"/>
      <c r="E45" s="847"/>
      <c r="F45" s="911"/>
      <c r="G45" s="911"/>
      <c r="H45" s="847"/>
      <c r="I45" s="911"/>
    </row>
    <row r="46" spans="1:9" ht="12.75">
      <c r="A46" s="880">
        <f>A45+1</f>
        <v>32</v>
      </c>
      <c r="B46" s="841" t="s">
        <v>530</v>
      </c>
      <c r="C46" s="144"/>
      <c r="D46" s="912"/>
      <c r="E46" s="144"/>
      <c r="F46" s="912"/>
      <c r="G46" s="912"/>
      <c r="H46" s="144"/>
      <c r="I46" s="912"/>
    </row>
    <row r="47" spans="1:10" ht="12.75">
      <c r="A47" s="880">
        <f>A46+1</f>
        <v>33</v>
      </c>
      <c r="B47" s="841" t="str">
        <f>"Monetary Value (Ln "&amp;A45&amp;" * Ln "&amp;A46&amp;")"</f>
        <v>Monetary Value (Ln 31 * Ln 32)</v>
      </c>
      <c r="C47" s="482">
        <f aca="true" t="shared" si="10" ref="C47:I47">C45*C46</f>
        <v>0</v>
      </c>
      <c r="D47" s="482"/>
      <c r="E47" s="482">
        <f t="shared" si="10"/>
        <v>0</v>
      </c>
      <c r="F47" s="482">
        <f t="shared" si="10"/>
        <v>0</v>
      </c>
      <c r="G47" s="482">
        <f t="shared" si="10"/>
        <v>0</v>
      </c>
      <c r="H47" s="482">
        <f t="shared" si="10"/>
        <v>0</v>
      </c>
      <c r="I47" s="482">
        <f t="shared" si="10"/>
        <v>0</v>
      </c>
      <c r="J47" s="887">
        <f>SUM(C47:I47)</f>
        <v>0</v>
      </c>
    </row>
    <row r="48" spans="1:10" ht="12.75">
      <c r="A48" s="880">
        <f>A47+1</f>
        <v>34</v>
      </c>
      <c r="B48" s="841" t="str">
        <f>"Dividend Amount (Ln "&amp;A44&amp;" * Ln "&amp;A47&amp;")"</f>
        <v>Dividend Amount (Ln 30 * Ln 33)</v>
      </c>
      <c r="C48" s="482">
        <f aca="true" t="shared" si="11" ref="C48:I48">C47*C44</f>
        <v>0</v>
      </c>
      <c r="D48" s="482"/>
      <c r="E48" s="482">
        <f t="shared" si="11"/>
        <v>0</v>
      </c>
      <c r="F48" s="482">
        <f t="shared" si="11"/>
        <v>0</v>
      </c>
      <c r="G48" s="482">
        <f t="shared" si="11"/>
        <v>0</v>
      </c>
      <c r="H48" s="482">
        <f t="shared" si="11"/>
        <v>0</v>
      </c>
      <c r="I48" s="482">
        <f t="shared" si="11"/>
        <v>0</v>
      </c>
      <c r="J48" s="887">
        <f>SUM(C48:I48)</f>
        <v>0</v>
      </c>
    </row>
    <row r="49" ht="12.75">
      <c r="B49" s="841"/>
    </row>
    <row r="50" spans="1:10" ht="12.75">
      <c r="A50" s="880">
        <f>A48+1</f>
        <v>35</v>
      </c>
      <c r="B50" s="839" t="str">
        <f>"Preferred Stock (Lns "&amp;A29&amp;", "&amp;A35&amp;", "&amp;A41&amp;","&amp;A47&amp;")"</f>
        <v>Preferred Stock (Lns 18, 23, 28,33)</v>
      </c>
      <c r="C50" s="887">
        <f aca="true" t="shared" si="12" ref="C50:I51">C29+C35+C41+C47</f>
        <v>0</v>
      </c>
      <c r="D50" s="887"/>
      <c r="E50" s="887">
        <f t="shared" si="12"/>
        <v>0</v>
      </c>
      <c r="F50" s="887">
        <f t="shared" si="12"/>
        <v>0</v>
      </c>
      <c r="G50" s="887">
        <f t="shared" si="12"/>
        <v>0</v>
      </c>
      <c r="H50" s="887">
        <f t="shared" si="12"/>
        <v>0</v>
      </c>
      <c r="I50" s="887">
        <f t="shared" si="12"/>
        <v>0</v>
      </c>
      <c r="J50" s="887">
        <f>SUM(C50:I50)</f>
        <v>0</v>
      </c>
    </row>
    <row r="51" spans="1:10" ht="12.75">
      <c r="A51" s="880">
        <f>A50+1</f>
        <v>36</v>
      </c>
      <c r="B51" s="839" t="str">
        <f>"Preferred Dividends (Lns "&amp;A30&amp;", "&amp;A36&amp;", "&amp;A42&amp;","&amp;A48&amp;")"</f>
        <v>Preferred Dividends (Lns 19, 24, 29,34)</v>
      </c>
      <c r="C51" s="887">
        <f t="shared" si="12"/>
        <v>0</v>
      </c>
      <c r="D51" s="887"/>
      <c r="E51" s="887">
        <f t="shared" si="12"/>
        <v>0</v>
      </c>
      <c r="F51" s="887">
        <f t="shared" si="12"/>
        <v>0</v>
      </c>
      <c r="G51" s="887">
        <f t="shared" si="12"/>
        <v>0</v>
      </c>
      <c r="H51" s="887">
        <f t="shared" si="12"/>
        <v>0</v>
      </c>
      <c r="I51" s="887">
        <f t="shared" si="12"/>
        <v>0</v>
      </c>
      <c r="J51" s="887">
        <f>SUM(C51:I51)</f>
        <v>0</v>
      </c>
    </row>
    <row r="52" ht="12.75">
      <c r="B52" s="891"/>
    </row>
    <row r="53" ht="15">
      <c r="A53" s="838" t="s">
        <v>531</v>
      </c>
    </row>
    <row r="54" spans="1:10" ht="12.75">
      <c r="A54" s="880">
        <f>A51+1</f>
        <v>37</v>
      </c>
      <c r="B54" s="658" t="s">
        <v>532</v>
      </c>
      <c r="C54" s="144"/>
      <c r="D54" s="144"/>
      <c r="E54" s="144"/>
      <c r="F54" s="144"/>
      <c r="G54" s="144"/>
      <c r="H54" s="144"/>
      <c r="I54" s="144"/>
      <c r="J54" s="887">
        <f>SUM(C54:I54)</f>
        <v>0</v>
      </c>
    </row>
    <row r="55" spans="1:10" ht="12.75">
      <c r="A55" s="880">
        <f>A54+1</f>
        <v>38</v>
      </c>
      <c r="B55" s="658" t="str">
        <f>"Less: Preferred Stock (Ln "&amp;A50&amp;" Above)"</f>
        <v>Less: Preferred Stock (Ln 35 Above)</v>
      </c>
      <c r="C55" s="483">
        <f aca="true" t="shared" si="13" ref="C55:I55">C50</f>
        <v>0</v>
      </c>
      <c r="D55" s="483"/>
      <c r="E55" s="483">
        <f t="shared" si="13"/>
        <v>0</v>
      </c>
      <c r="F55" s="483">
        <f t="shared" si="13"/>
        <v>0</v>
      </c>
      <c r="G55" s="483">
        <f t="shared" si="13"/>
        <v>0</v>
      </c>
      <c r="H55" s="483">
        <f t="shared" si="13"/>
        <v>0</v>
      </c>
      <c r="I55" s="483">
        <f t="shared" si="13"/>
        <v>0</v>
      </c>
      <c r="J55" s="887">
        <f>SUM(C55:I55)</f>
        <v>0</v>
      </c>
    </row>
    <row r="56" spans="1:10" ht="12.75">
      <c r="A56" s="880">
        <f>A55+1</f>
        <v>39</v>
      </c>
      <c r="B56" s="658" t="s">
        <v>533</v>
      </c>
      <c r="C56" s="845"/>
      <c r="D56" s="845"/>
      <c r="E56" s="845"/>
      <c r="F56" s="845"/>
      <c r="G56" s="845"/>
      <c r="H56" s="845"/>
      <c r="I56" s="845"/>
      <c r="J56" s="887">
        <f>SUM(C56:I56)</f>
        <v>0</v>
      </c>
    </row>
    <row r="57" spans="1:10" ht="12.75">
      <c r="A57" s="880">
        <f>A56+1</f>
        <v>40</v>
      </c>
      <c r="B57" s="658" t="s">
        <v>534</v>
      </c>
      <c r="C57" s="145"/>
      <c r="D57" s="145"/>
      <c r="E57" s="145"/>
      <c r="F57" s="145"/>
      <c r="G57" s="145"/>
      <c r="H57" s="145"/>
      <c r="I57" s="145"/>
      <c r="J57" s="892">
        <f>SUM(C57:I57)</f>
        <v>0</v>
      </c>
    </row>
    <row r="58" spans="1:10" ht="12.75">
      <c r="A58" s="880">
        <f>A57+1</f>
        <v>41</v>
      </c>
      <c r="B58" s="840" t="s">
        <v>535</v>
      </c>
      <c r="C58" s="825">
        <f aca="true" t="shared" si="14" ref="C58:J58">C54-C55-C56-C57</f>
        <v>0</v>
      </c>
      <c r="D58" s="825"/>
      <c r="E58" s="825">
        <f t="shared" si="14"/>
        <v>0</v>
      </c>
      <c r="F58" s="825">
        <f t="shared" si="14"/>
        <v>0</v>
      </c>
      <c r="G58" s="825">
        <f t="shared" si="14"/>
        <v>0</v>
      </c>
      <c r="H58" s="825">
        <f t="shared" si="14"/>
        <v>0</v>
      </c>
      <c r="I58" s="825">
        <f t="shared" si="14"/>
        <v>0</v>
      </c>
      <c r="J58" s="825">
        <f t="shared" si="14"/>
        <v>0</v>
      </c>
    </row>
    <row r="60" ht="15">
      <c r="A60" s="838" t="s">
        <v>536</v>
      </c>
    </row>
    <row r="61" spans="1:10" ht="12.75">
      <c r="A61" s="880">
        <f>A58+1</f>
        <v>42</v>
      </c>
      <c r="B61" s="462" t="str">
        <f>"Long Term Debt (Ln "&amp;A12&amp;" Above)"</f>
        <v>Long Term Debt (Ln 6 Above)</v>
      </c>
      <c r="C61" s="887">
        <f aca="true" t="shared" si="15" ref="C61:J61">C12</f>
        <v>0</v>
      </c>
      <c r="D61" s="887"/>
      <c r="E61" s="887">
        <f t="shared" si="15"/>
        <v>0</v>
      </c>
      <c r="F61" s="887">
        <f t="shared" si="15"/>
        <v>0</v>
      </c>
      <c r="G61" s="887">
        <f t="shared" si="15"/>
        <v>0</v>
      </c>
      <c r="H61" s="887">
        <f t="shared" si="15"/>
        <v>0</v>
      </c>
      <c r="I61" s="887">
        <f t="shared" si="15"/>
        <v>0</v>
      </c>
      <c r="J61" s="887">
        <f t="shared" si="15"/>
        <v>0</v>
      </c>
    </row>
    <row r="62" spans="1:10" ht="12.75">
      <c r="A62" s="880">
        <f>A61+1</f>
        <v>43</v>
      </c>
      <c r="B62" s="462" t="str">
        <f>"Preferred Stock (Ln "&amp;A50&amp;" Above)"</f>
        <v>Preferred Stock (Ln 35 Above)</v>
      </c>
      <c r="C62" s="887">
        <f aca="true" t="shared" si="16" ref="C62:J62">C50</f>
        <v>0</v>
      </c>
      <c r="D62" s="887"/>
      <c r="E62" s="887">
        <f t="shared" si="16"/>
        <v>0</v>
      </c>
      <c r="F62" s="887">
        <f t="shared" si="16"/>
        <v>0</v>
      </c>
      <c r="G62" s="887">
        <f t="shared" si="16"/>
        <v>0</v>
      </c>
      <c r="H62" s="887">
        <f t="shared" si="16"/>
        <v>0</v>
      </c>
      <c r="I62" s="887">
        <f t="shared" si="16"/>
        <v>0</v>
      </c>
      <c r="J62" s="887">
        <f t="shared" si="16"/>
        <v>0</v>
      </c>
    </row>
    <row r="63" spans="1:10" ht="12.75">
      <c r="A63" s="880">
        <f>A62+1</f>
        <v>44</v>
      </c>
      <c r="B63" s="462" t="str">
        <f>"Common Equity (Ln "&amp;A58&amp;" Above)"</f>
        <v>Common Equity (Ln 41 Above)</v>
      </c>
      <c r="C63" s="892">
        <f aca="true" t="shared" si="17" ref="C63:J63">C58</f>
        <v>0</v>
      </c>
      <c r="D63" s="892"/>
      <c r="E63" s="892">
        <f t="shared" si="17"/>
        <v>0</v>
      </c>
      <c r="F63" s="892">
        <f t="shared" si="17"/>
        <v>0</v>
      </c>
      <c r="G63" s="892">
        <f t="shared" si="17"/>
        <v>0</v>
      </c>
      <c r="H63" s="892">
        <f t="shared" si="17"/>
        <v>0</v>
      </c>
      <c r="I63" s="892">
        <f t="shared" si="17"/>
        <v>0</v>
      </c>
      <c r="J63" s="892">
        <f t="shared" si="17"/>
        <v>0</v>
      </c>
    </row>
    <row r="64" spans="1:10" ht="12.75">
      <c r="A64" s="880">
        <f>A63+1</f>
        <v>45</v>
      </c>
      <c r="B64" s="880" t="s">
        <v>537</v>
      </c>
      <c r="C64" s="887">
        <f aca="true" t="shared" si="18" ref="C64:J64">SUM(C61:C63)</f>
        <v>0</v>
      </c>
      <c r="D64" s="887"/>
      <c r="E64" s="887">
        <f t="shared" si="18"/>
        <v>0</v>
      </c>
      <c r="F64" s="887">
        <f t="shared" si="18"/>
        <v>0</v>
      </c>
      <c r="G64" s="887">
        <f t="shared" si="18"/>
        <v>0</v>
      </c>
      <c r="H64" s="887">
        <f t="shared" si="18"/>
        <v>0</v>
      </c>
      <c r="I64" s="887">
        <f t="shared" si="18"/>
        <v>0</v>
      </c>
      <c r="J64" s="887">
        <f t="shared" si="18"/>
        <v>0</v>
      </c>
    </row>
    <row r="66" spans="1:10" ht="12.75">
      <c r="A66" s="880">
        <f>A64+1</f>
        <v>46</v>
      </c>
      <c r="B66" s="462" t="str">
        <f>"LTD Capital Shares (Ln "&amp;A61&amp;" / Ln "&amp;A64&amp;")"</f>
        <v>LTD Capital Shares (Ln 42 / Ln 45)</v>
      </c>
      <c r="C66" s="893" t="e">
        <f aca="true" t="shared" si="19" ref="C66:J66">C61/C64</f>
        <v>#DIV/0!</v>
      </c>
      <c r="D66" s="893"/>
      <c r="E66" s="893" t="e">
        <f t="shared" si="19"/>
        <v>#DIV/0!</v>
      </c>
      <c r="F66" s="893" t="e">
        <f t="shared" si="19"/>
        <v>#DIV/0!</v>
      </c>
      <c r="G66" s="893" t="e">
        <f t="shared" si="19"/>
        <v>#DIV/0!</v>
      </c>
      <c r="H66" s="893" t="e">
        <f t="shared" si="19"/>
        <v>#DIV/0!</v>
      </c>
      <c r="I66" s="893" t="e">
        <f t="shared" si="19"/>
        <v>#DIV/0!</v>
      </c>
      <c r="J66" s="893" t="e">
        <f t="shared" si="19"/>
        <v>#DIV/0!</v>
      </c>
    </row>
    <row r="67" spans="1:10" ht="12.75">
      <c r="A67" s="880">
        <f>A66+1</f>
        <v>47</v>
      </c>
      <c r="B67" s="462" t="str">
        <f>"Preferred Stock Capital Shares (Ln "&amp;A62&amp;" / Ln "&amp;A64&amp;")"</f>
        <v>Preferred Stock Capital Shares (Ln 43 / Ln 45)</v>
      </c>
      <c r="C67" s="893" t="e">
        <f aca="true" t="shared" si="20" ref="C67:J67">C62/C64</f>
        <v>#DIV/0!</v>
      </c>
      <c r="D67" s="893"/>
      <c r="E67" s="893" t="e">
        <f t="shared" si="20"/>
        <v>#DIV/0!</v>
      </c>
      <c r="F67" s="893" t="e">
        <f t="shared" si="20"/>
        <v>#DIV/0!</v>
      </c>
      <c r="G67" s="893" t="e">
        <f t="shared" si="20"/>
        <v>#DIV/0!</v>
      </c>
      <c r="H67" s="893" t="e">
        <f t="shared" si="20"/>
        <v>#DIV/0!</v>
      </c>
      <c r="I67" s="893" t="e">
        <f t="shared" si="20"/>
        <v>#DIV/0!</v>
      </c>
      <c r="J67" s="893" t="e">
        <f t="shared" si="20"/>
        <v>#DIV/0!</v>
      </c>
    </row>
    <row r="68" spans="1:10" ht="12.75">
      <c r="A68" s="894">
        <f>A67+1</f>
        <v>48</v>
      </c>
      <c r="B68" s="462" t="str">
        <f>"Common Equity Capital Shares (Ln "&amp;A63&amp;" / Ln "&amp;A64&amp;")"</f>
        <v>Common Equity Capital Shares (Ln 44 / Ln 45)</v>
      </c>
      <c r="C68" s="895" t="e">
        <f aca="true" t="shared" si="21" ref="C68:J68">C63/C64</f>
        <v>#DIV/0!</v>
      </c>
      <c r="D68" s="895"/>
      <c r="E68" s="895" t="e">
        <f t="shared" si="21"/>
        <v>#DIV/0!</v>
      </c>
      <c r="F68" s="895" t="e">
        <f t="shared" si="21"/>
        <v>#DIV/0!</v>
      </c>
      <c r="G68" s="895" t="e">
        <f t="shared" si="21"/>
        <v>#DIV/0!</v>
      </c>
      <c r="H68" s="895" t="e">
        <f t="shared" si="21"/>
        <v>#DIV/0!</v>
      </c>
      <c r="I68" s="895" t="e">
        <f t="shared" si="21"/>
        <v>#DIV/0!</v>
      </c>
      <c r="J68" s="895" t="e">
        <f t="shared" si="21"/>
        <v>#DIV/0!</v>
      </c>
    </row>
    <row r="69" spans="1:10" ht="12.75">
      <c r="A69" s="894"/>
      <c r="B69" s="462"/>
      <c r="C69" s="895"/>
      <c r="D69" s="895"/>
      <c r="E69" s="895"/>
      <c r="F69" s="895"/>
      <c r="G69" s="895"/>
      <c r="H69" s="895"/>
      <c r="I69" s="895"/>
      <c r="J69" s="895"/>
    </row>
    <row r="70" spans="1:10" ht="12.75">
      <c r="A70" s="894">
        <f>A68+1</f>
        <v>49</v>
      </c>
      <c r="B70" s="839" t="s">
        <v>568</v>
      </c>
      <c r="C70" s="896"/>
      <c r="D70" s="896"/>
      <c r="E70" s="896"/>
      <c r="F70" s="896"/>
      <c r="G70" s="896"/>
      <c r="H70" s="896"/>
      <c r="I70" s="896"/>
      <c r="J70" s="896"/>
    </row>
    <row r="71" spans="1:10" ht="12.75">
      <c r="A71" s="894"/>
      <c r="B71" s="462"/>
      <c r="C71" s="895"/>
      <c r="D71" s="895"/>
      <c r="E71" s="895"/>
      <c r="F71" s="895"/>
      <c r="G71" s="895"/>
      <c r="H71" s="895"/>
      <c r="I71" s="895"/>
      <c r="J71" s="895"/>
    </row>
    <row r="72" spans="1:10" ht="12.75">
      <c r="A72" s="894">
        <f>A70+1</f>
        <v>50</v>
      </c>
      <c r="B72" s="839" t="s">
        <v>568</v>
      </c>
      <c r="C72" s="895"/>
      <c r="D72" s="895"/>
      <c r="E72" s="895"/>
      <c r="F72" s="895"/>
      <c r="G72" s="895"/>
      <c r="H72" s="895"/>
      <c r="I72" s="895"/>
      <c r="J72" s="895"/>
    </row>
    <row r="73" spans="1:10" ht="12.75">
      <c r="A73" s="894">
        <f>A72+1</f>
        <v>51</v>
      </c>
      <c r="B73" s="839" t="s">
        <v>568</v>
      </c>
      <c r="C73" s="895"/>
      <c r="D73" s="895"/>
      <c r="E73" s="895"/>
      <c r="F73" s="895"/>
      <c r="G73" s="895"/>
      <c r="H73" s="895"/>
      <c r="I73" s="895"/>
      <c r="J73" s="895"/>
    </row>
    <row r="74" spans="1:10" ht="12.75">
      <c r="A74" s="894">
        <f>A73+1</f>
        <v>52</v>
      </c>
      <c r="B74" s="839" t="s">
        <v>568</v>
      </c>
      <c r="C74" s="895"/>
      <c r="D74" s="895"/>
      <c r="E74" s="895"/>
      <c r="F74" s="895"/>
      <c r="G74" s="895"/>
      <c r="H74" s="895"/>
      <c r="I74" s="895"/>
      <c r="J74" s="895"/>
    </row>
    <row r="75" spans="2:10" ht="12.75">
      <c r="B75" s="462"/>
      <c r="C75" s="893"/>
      <c r="D75" s="893"/>
      <c r="E75" s="893"/>
      <c r="F75" s="893"/>
      <c r="G75" s="893"/>
      <c r="H75" s="893"/>
      <c r="I75" s="893"/>
      <c r="J75" s="893"/>
    </row>
    <row r="76" ht="15">
      <c r="A76" s="838" t="s">
        <v>538</v>
      </c>
    </row>
    <row r="77" spans="1:10" ht="12.75">
      <c r="A77" s="880">
        <f>A74+1</f>
        <v>53</v>
      </c>
      <c r="B77" s="462" t="str">
        <f>"LTD Capital Cost Rate (Ln "&amp;A23&amp;" / Ln "&amp;A12&amp;")"</f>
        <v>LTD Capital Cost Rate (Ln 14 / Ln 6)</v>
      </c>
      <c r="C77" s="893" t="e">
        <f aca="true" t="shared" si="22" ref="C77:J77">C23/C12</f>
        <v>#DIV/0!</v>
      </c>
      <c r="D77" s="893"/>
      <c r="E77" s="893" t="e">
        <f t="shared" si="22"/>
        <v>#DIV/0!</v>
      </c>
      <c r="F77" s="893" t="e">
        <f t="shared" si="22"/>
        <v>#DIV/0!</v>
      </c>
      <c r="G77" s="893" t="e">
        <f t="shared" si="22"/>
        <v>#DIV/0!</v>
      </c>
      <c r="H77" s="893" t="e">
        <f t="shared" si="22"/>
        <v>#DIV/0!</v>
      </c>
      <c r="I77" s="893" t="e">
        <f t="shared" si="22"/>
        <v>#DIV/0!</v>
      </c>
      <c r="J77" s="893" t="e">
        <f t="shared" si="22"/>
        <v>#DIV/0!</v>
      </c>
    </row>
    <row r="78" spans="1:10" ht="12.75">
      <c r="A78" s="880">
        <f>A77+1</f>
        <v>54</v>
      </c>
      <c r="B78" s="462" t="str">
        <f>"Preferred Stock Capital Cost Rate (Ln "&amp;A51&amp;" / Ln "&amp;A50&amp;")"</f>
        <v>Preferred Stock Capital Cost Rate (Ln 36 / Ln 35)</v>
      </c>
      <c r="C78" s="893">
        <f aca="true" t="shared" si="23" ref="C78:J78">IF(C50=0,0,C51/C50)</f>
        <v>0</v>
      </c>
      <c r="D78" s="893"/>
      <c r="E78" s="893">
        <f t="shared" si="23"/>
        <v>0</v>
      </c>
      <c r="F78" s="893">
        <f t="shared" si="23"/>
        <v>0</v>
      </c>
      <c r="G78" s="893">
        <f t="shared" si="23"/>
        <v>0</v>
      </c>
      <c r="H78" s="893">
        <f t="shared" si="23"/>
        <v>0</v>
      </c>
      <c r="I78" s="893">
        <f t="shared" si="23"/>
        <v>0</v>
      </c>
      <c r="J78" s="893">
        <f t="shared" si="23"/>
        <v>0</v>
      </c>
    </row>
    <row r="79" spans="1:10" ht="12.75">
      <c r="A79" s="880">
        <f>A78+1</f>
        <v>55</v>
      </c>
      <c r="B79" s="462" t="s">
        <v>539</v>
      </c>
      <c r="C79" s="893">
        <v>0.1149</v>
      </c>
      <c r="D79" s="893"/>
      <c r="E79" s="893">
        <v>0.1149</v>
      </c>
      <c r="F79" s="893">
        <v>0.1149</v>
      </c>
      <c r="G79" s="893">
        <v>0.1149</v>
      </c>
      <c r="H79" s="893">
        <v>0.1149</v>
      </c>
      <c r="I79" s="893">
        <v>0.1149</v>
      </c>
      <c r="J79" s="893">
        <v>0.1149</v>
      </c>
    </row>
    <row r="81" ht="15">
      <c r="A81" s="838" t="s">
        <v>540</v>
      </c>
    </row>
    <row r="82" spans="1:10" ht="12.75">
      <c r="A82" s="880">
        <f>A79+1</f>
        <v>56</v>
      </c>
      <c r="B82" s="462" t="str">
        <f>"LTD Weighted Capital Cost Rate (Ln "&amp;A66&amp;" * Ln "&amp;A77&amp;")"</f>
        <v>LTD Weighted Capital Cost Rate (Ln 46 * Ln 53)</v>
      </c>
      <c r="C82" s="893" t="e">
        <f>C66*C77</f>
        <v>#DIV/0!</v>
      </c>
      <c r="D82" s="893"/>
      <c r="E82" s="893" t="e">
        <f aca="true" t="shared" si="24" ref="E82:J82">E66*E77</f>
        <v>#DIV/0!</v>
      </c>
      <c r="F82" s="893" t="e">
        <f t="shared" si="24"/>
        <v>#DIV/0!</v>
      </c>
      <c r="G82" s="893" t="e">
        <f t="shared" si="24"/>
        <v>#DIV/0!</v>
      </c>
      <c r="H82" s="893" t="e">
        <f t="shared" si="24"/>
        <v>#DIV/0!</v>
      </c>
      <c r="I82" s="893" t="e">
        <f t="shared" si="24"/>
        <v>#DIV/0!</v>
      </c>
      <c r="J82" s="893" t="e">
        <f t="shared" si="24"/>
        <v>#DIV/0!</v>
      </c>
    </row>
    <row r="83" spans="1:10" ht="12.75">
      <c r="A83" s="880">
        <f>A82+1</f>
        <v>57</v>
      </c>
      <c r="B83" s="462" t="str">
        <f>"Preferred Stock Capital Cost Rate (Ln "&amp;A67&amp;" * Ln "&amp;A78&amp;")"</f>
        <v>Preferred Stock Capital Cost Rate (Ln 47 * Ln 54)</v>
      </c>
      <c r="C83" s="893" t="e">
        <f>C67*C78</f>
        <v>#DIV/0!</v>
      </c>
      <c r="D83" s="893"/>
      <c r="E83" s="893" t="e">
        <f aca="true" t="shared" si="25" ref="E83:J83">E67*E78</f>
        <v>#DIV/0!</v>
      </c>
      <c r="F83" s="893" t="e">
        <f t="shared" si="25"/>
        <v>#DIV/0!</v>
      </c>
      <c r="G83" s="893" t="e">
        <f t="shared" si="25"/>
        <v>#DIV/0!</v>
      </c>
      <c r="H83" s="893" t="e">
        <f t="shared" si="25"/>
        <v>#DIV/0!</v>
      </c>
      <c r="I83" s="893" t="e">
        <f t="shared" si="25"/>
        <v>#DIV/0!</v>
      </c>
      <c r="J83" s="893" t="e">
        <f t="shared" si="25"/>
        <v>#DIV/0!</v>
      </c>
    </row>
    <row r="84" spans="1:10" ht="12.75">
      <c r="A84" s="880">
        <f>A83+1</f>
        <v>58</v>
      </c>
      <c r="B84" s="462" t="str">
        <f>"Common Equity Capital Cost Rate (Ln "&amp;A68&amp;" * Ln "&amp;A79&amp;")"</f>
        <v>Common Equity Capital Cost Rate (Ln 48 * Ln 55)</v>
      </c>
      <c r="C84" s="897" t="e">
        <f>C68*C79</f>
        <v>#DIV/0!</v>
      </c>
      <c r="D84" s="897"/>
      <c r="E84" s="897" t="e">
        <f aca="true" t="shared" si="26" ref="E84:J84">E68*E79</f>
        <v>#DIV/0!</v>
      </c>
      <c r="F84" s="897" t="e">
        <f t="shared" si="26"/>
        <v>#DIV/0!</v>
      </c>
      <c r="G84" s="897" t="e">
        <f t="shared" si="26"/>
        <v>#DIV/0!</v>
      </c>
      <c r="H84" s="897" t="e">
        <f t="shared" si="26"/>
        <v>#DIV/0!</v>
      </c>
      <c r="I84" s="897" t="e">
        <f t="shared" si="26"/>
        <v>#DIV/0!</v>
      </c>
      <c r="J84" s="897" t="e">
        <f t="shared" si="26"/>
        <v>#DIV/0!</v>
      </c>
    </row>
    <row r="85" spans="1:10" ht="12.75">
      <c r="A85" s="880">
        <f>A84+1</f>
        <v>59</v>
      </c>
      <c r="B85" s="898" t="s">
        <v>537</v>
      </c>
      <c r="C85" s="899" t="e">
        <f aca="true" t="shared" si="27" ref="C85:J85">SUM(C82:C84)</f>
        <v>#DIV/0!</v>
      </c>
      <c r="D85" s="899"/>
      <c r="E85" s="899" t="e">
        <f t="shared" si="27"/>
        <v>#DIV/0!</v>
      </c>
      <c r="F85" s="899" t="e">
        <f t="shared" si="27"/>
        <v>#DIV/0!</v>
      </c>
      <c r="G85" s="899" t="e">
        <f t="shared" si="27"/>
        <v>#DIV/0!</v>
      </c>
      <c r="H85" s="899" t="e">
        <f t="shared" si="27"/>
        <v>#DIV/0!</v>
      </c>
      <c r="I85" s="899" t="e">
        <f t="shared" si="27"/>
        <v>#DIV/0!</v>
      </c>
      <c r="J85" s="899" t="e">
        <f t="shared" si="27"/>
        <v>#DIV/0!</v>
      </c>
    </row>
    <row r="88" spans="1:10" ht="12.75">
      <c r="A88" s="1502" t="s">
        <v>516</v>
      </c>
      <c r="B88" s="1502"/>
      <c r="C88" s="1502"/>
      <c r="D88" s="1502"/>
      <c r="E88" s="1502"/>
      <c r="F88" s="1502"/>
      <c r="G88" s="1502"/>
      <c r="H88" s="1502"/>
      <c r="I88" s="1502"/>
      <c r="J88" s="1502"/>
    </row>
    <row r="89" spans="1:10" ht="12.75">
      <c r="A89" s="1502" t="str">
        <f>"Consolidation of Operating Companies' Capital Structure @ December 31, "&amp;TCOS!L2-1&amp;""</f>
        <v>Consolidation of Operating Companies' Capital Structure @ December 31, 2016</v>
      </c>
      <c r="B89" s="1502"/>
      <c r="C89" s="1502"/>
      <c r="D89" s="1502"/>
      <c r="E89" s="1502"/>
      <c r="F89" s="1502"/>
      <c r="G89" s="1502"/>
      <c r="H89" s="1502"/>
      <c r="I89" s="1502"/>
      <c r="J89" s="1502"/>
    </row>
    <row r="90" spans="1:10" ht="12.75">
      <c r="A90" s="1502" t="s">
        <v>258</v>
      </c>
      <c r="B90" s="1502"/>
      <c r="C90" s="1502"/>
      <c r="D90" s="1502"/>
      <c r="E90" s="1502"/>
      <c r="F90" s="1502"/>
      <c r="G90" s="1502"/>
      <c r="H90" s="1502"/>
      <c r="I90" s="1502"/>
      <c r="J90" s="1502"/>
    </row>
    <row r="91" spans="2:10" ht="12.75">
      <c r="B91" s="891"/>
      <c r="C91" s="894"/>
      <c r="D91" s="894"/>
      <c r="E91" s="894"/>
      <c r="F91" s="894"/>
      <c r="G91" s="894"/>
      <c r="H91" s="894"/>
      <c r="I91" s="894"/>
      <c r="J91" s="894"/>
    </row>
    <row r="92" spans="1:10" ht="76.5">
      <c r="A92" s="880" t="s">
        <v>470</v>
      </c>
      <c r="C92" s="881" t="s">
        <v>517</v>
      </c>
      <c r="D92" s="881"/>
      <c r="E92" s="881" t="s">
        <v>518</v>
      </c>
      <c r="F92" s="881" t="s">
        <v>519</v>
      </c>
      <c r="G92" s="881" t="s">
        <v>520</v>
      </c>
      <c r="H92" s="881" t="s">
        <v>521</v>
      </c>
      <c r="I92" s="881" t="s">
        <v>522</v>
      </c>
      <c r="J92" s="881" t="s">
        <v>523</v>
      </c>
    </row>
    <row r="93" ht="15">
      <c r="A93" s="838" t="s">
        <v>524</v>
      </c>
    </row>
    <row r="94" spans="1:10" ht="12.75">
      <c r="A94" s="880">
        <f>A85+1</f>
        <v>60</v>
      </c>
      <c r="B94" s="842" t="s">
        <v>347</v>
      </c>
      <c r="C94" s="845"/>
      <c r="D94" s="845"/>
      <c r="E94" s="845"/>
      <c r="F94" s="845"/>
      <c r="G94" s="845"/>
      <c r="H94" s="845"/>
      <c r="I94" s="845"/>
      <c r="J94" s="825">
        <f>SUM(C94:I94)</f>
        <v>0</v>
      </c>
    </row>
    <row r="95" spans="1:10" ht="12.75">
      <c r="A95" s="880">
        <f>A94+1</f>
        <v>61</v>
      </c>
      <c r="B95" s="842" t="s">
        <v>348</v>
      </c>
      <c r="C95" s="845"/>
      <c r="D95" s="845"/>
      <c r="E95" s="845"/>
      <c r="F95" s="845"/>
      <c r="G95" s="845"/>
      <c r="H95" s="845"/>
      <c r="I95" s="845"/>
      <c r="J95" s="825">
        <f>SUM(C95:I95)</f>
        <v>0</v>
      </c>
    </row>
    <row r="96" spans="1:10" ht="12.75">
      <c r="A96" s="880">
        <f>A95+1</f>
        <v>62</v>
      </c>
      <c r="B96" s="843" t="s">
        <v>24</v>
      </c>
      <c r="C96" s="845"/>
      <c r="D96" s="845"/>
      <c r="E96" s="845"/>
      <c r="F96" s="845"/>
      <c r="G96" s="845"/>
      <c r="H96" s="845"/>
      <c r="I96" s="845"/>
      <c r="J96" s="825">
        <f>SUM(C96:I96)</f>
        <v>0</v>
      </c>
    </row>
    <row r="97" spans="1:10" ht="12.75">
      <c r="A97" s="880">
        <f>A96+1</f>
        <v>63</v>
      </c>
      <c r="B97" s="843" t="s">
        <v>18</v>
      </c>
      <c r="C97" s="845"/>
      <c r="D97" s="845"/>
      <c r="E97" s="845"/>
      <c r="F97" s="845"/>
      <c r="G97" s="845"/>
      <c r="H97" s="845"/>
      <c r="I97" s="845"/>
      <c r="J97" s="825">
        <f>SUM(C97:I97)</f>
        <v>0</v>
      </c>
    </row>
    <row r="98" spans="1:10" ht="12.75">
      <c r="A98" s="880">
        <f>A97+1</f>
        <v>64</v>
      </c>
      <c r="B98" s="843" t="str">
        <f>"Less: Fair Value Hedges (See Note on Ln "&amp;A101&amp;" below)"</f>
        <v>Less: Fair Value Hedges (See Note on Ln 66 below)</v>
      </c>
      <c r="C98" s="145"/>
      <c r="D98" s="145"/>
      <c r="E98" s="145"/>
      <c r="F98" s="145"/>
      <c r="G98" s="145"/>
      <c r="H98" s="145"/>
      <c r="I98" s="145"/>
      <c r="J98" s="882">
        <f>SUM(C98:I98)</f>
        <v>0</v>
      </c>
    </row>
    <row r="99" spans="1:10" ht="12.75">
      <c r="A99" s="880">
        <f>A98+1</f>
        <v>65</v>
      </c>
      <c r="B99" s="844" t="s">
        <v>68</v>
      </c>
      <c r="C99" s="883">
        <f aca="true" t="shared" si="28" ref="C99:J99">C94-C95+C96+C97-C98</f>
        <v>0</v>
      </c>
      <c r="D99" s="883"/>
      <c r="E99" s="883">
        <f t="shared" si="28"/>
        <v>0</v>
      </c>
      <c r="F99" s="883">
        <f t="shared" si="28"/>
        <v>0</v>
      </c>
      <c r="G99" s="883">
        <f t="shared" si="28"/>
        <v>0</v>
      </c>
      <c r="H99" s="883">
        <f t="shared" si="28"/>
        <v>0</v>
      </c>
      <c r="I99" s="883">
        <f t="shared" si="28"/>
        <v>0</v>
      </c>
      <c r="J99" s="883">
        <f t="shared" si="28"/>
        <v>0</v>
      </c>
    </row>
    <row r="101" spans="1:10" ht="12.75">
      <c r="A101" s="880">
        <f>A99+1</f>
        <v>66</v>
      </c>
      <c r="B101" s="1503" t="s">
        <v>67</v>
      </c>
      <c r="C101" s="1503"/>
      <c r="D101" s="1503"/>
      <c r="E101" s="1503"/>
      <c r="F101" s="1503"/>
      <c r="G101" s="1503"/>
      <c r="H101" s="1503"/>
      <c r="I101" s="1503"/>
      <c r="J101" s="1503"/>
    </row>
    <row r="102" spans="2:10" ht="12.75">
      <c r="B102" s="884"/>
      <c r="C102" s="884"/>
      <c r="D102" s="884"/>
      <c r="E102" s="884"/>
      <c r="F102" s="884"/>
      <c r="G102" s="884"/>
      <c r="H102" s="884"/>
      <c r="I102" s="884"/>
      <c r="J102" s="884"/>
    </row>
    <row r="103" ht="15">
      <c r="A103" s="838" t="s">
        <v>525</v>
      </c>
    </row>
    <row r="104" spans="1:10" ht="12.75">
      <c r="A104" s="880">
        <f>A101+1</f>
        <v>67</v>
      </c>
      <c r="B104" s="842" t="s">
        <v>349</v>
      </c>
      <c r="C104" s="144"/>
      <c r="D104" s="144"/>
      <c r="E104" s="144"/>
      <c r="F104" s="144"/>
      <c r="G104" s="144"/>
      <c r="H104" s="144"/>
      <c r="I104" s="144"/>
      <c r="J104" s="483">
        <f aca="true" t="shared" si="29" ref="J104:J109">SUM(C104:I104)</f>
        <v>0</v>
      </c>
    </row>
    <row r="105" spans="1:10" ht="12.75">
      <c r="A105" s="880">
        <f aca="true" t="shared" si="30" ref="A105:A110">A104+1</f>
        <v>68</v>
      </c>
      <c r="B105" s="842" t="s">
        <v>342</v>
      </c>
      <c r="C105" s="144"/>
      <c r="D105" s="144"/>
      <c r="E105" s="144"/>
      <c r="F105" s="144"/>
      <c r="G105" s="144"/>
      <c r="H105" s="144"/>
      <c r="I105" s="144"/>
      <c r="J105" s="483">
        <f t="shared" si="29"/>
        <v>0</v>
      </c>
    </row>
    <row r="106" spans="1:10" ht="12.75">
      <c r="A106" s="880">
        <f t="shared" si="30"/>
        <v>69</v>
      </c>
      <c r="B106" s="842" t="s">
        <v>343</v>
      </c>
      <c r="C106" s="144"/>
      <c r="D106" s="144"/>
      <c r="E106" s="144"/>
      <c r="F106" s="144"/>
      <c r="G106" s="144"/>
      <c r="H106" s="144"/>
      <c r="I106" s="144"/>
      <c r="J106" s="483">
        <f t="shared" si="29"/>
        <v>0</v>
      </c>
    </row>
    <row r="107" spans="1:10" ht="12.75">
      <c r="A107" s="880">
        <f t="shared" si="30"/>
        <v>70</v>
      </c>
      <c r="B107" s="842" t="s">
        <v>344</v>
      </c>
      <c r="C107" s="845"/>
      <c r="D107" s="845"/>
      <c r="E107" s="845"/>
      <c r="F107" s="845"/>
      <c r="G107" s="845"/>
      <c r="H107" s="845"/>
      <c r="I107" s="845"/>
      <c r="J107" s="825">
        <f t="shared" si="29"/>
        <v>0</v>
      </c>
    </row>
    <row r="108" spans="1:10" ht="12.75">
      <c r="A108" s="880">
        <f t="shared" si="30"/>
        <v>71</v>
      </c>
      <c r="B108" s="842" t="s">
        <v>345</v>
      </c>
      <c r="C108" s="845"/>
      <c r="D108" s="845"/>
      <c r="E108" s="845"/>
      <c r="F108" s="845"/>
      <c r="G108" s="845"/>
      <c r="H108" s="845"/>
      <c r="I108" s="845"/>
      <c r="J108" s="825">
        <f t="shared" si="29"/>
        <v>0</v>
      </c>
    </row>
    <row r="109" spans="1:10" ht="12.75">
      <c r="A109" s="880">
        <f t="shared" si="30"/>
        <v>72</v>
      </c>
      <c r="B109" s="885" t="s">
        <v>526</v>
      </c>
      <c r="C109" s="145"/>
      <c r="D109" s="145"/>
      <c r="E109" s="145"/>
      <c r="F109" s="145"/>
      <c r="G109" s="145"/>
      <c r="H109" s="145"/>
      <c r="I109" s="145"/>
      <c r="J109" s="882">
        <f t="shared" si="29"/>
        <v>0</v>
      </c>
    </row>
    <row r="110" spans="1:10" ht="12.75">
      <c r="A110" s="880">
        <f t="shared" si="30"/>
        <v>73</v>
      </c>
      <c r="B110" s="886" t="s">
        <v>69</v>
      </c>
      <c r="C110" s="887">
        <f aca="true" t="shared" si="31" ref="C110:J110">C104+C105+C106-C107-C108-C109</f>
        <v>0</v>
      </c>
      <c r="D110" s="887"/>
      <c r="E110" s="887">
        <f t="shared" si="31"/>
        <v>0</v>
      </c>
      <c r="F110" s="887">
        <f t="shared" si="31"/>
        <v>0</v>
      </c>
      <c r="G110" s="887">
        <f t="shared" si="31"/>
        <v>0</v>
      </c>
      <c r="H110" s="887">
        <f t="shared" si="31"/>
        <v>0</v>
      </c>
      <c r="I110" s="887">
        <f t="shared" si="31"/>
        <v>0</v>
      </c>
      <c r="J110" s="887">
        <f t="shared" si="31"/>
        <v>0</v>
      </c>
    </row>
    <row r="112" spans="1:5" ht="15">
      <c r="A112" s="838" t="s">
        <v>527</v>
      </c>
      <c r="B112" s="888"/>
      <c r="C112" s="888"/>
      <c r="D112" s="888"/>
      <c r="E112" s="888"/>
    </row>
    <row r="113" spans="1:10" ht="12.75">
      <c r="A113" s="880">
        <f>A110+1</f>
        <v>74</v>
      </c>
      <c r="B113" s="841" t="s">
        <v>528</v>
      </c>
      <c r="C113" s="846"/>
      <c r="D113" s="909"/>
      <c r="E113" s="910"/>
      <c r="F113" s="909"/>
      <c r="G113" s="909"/>
      <c r="H113" s="846"/>
      <c r="I113" s="909"/>
      <c r="J113" s="889"/>
    </row>
    <row r="114" spans="1:10" ht="12.75">
      <c r="A114" s="880">
        <f>A113+1</f>
        <v>75</v>
      </c>
      <c r="B114" s="841" t="s">
        <v>529</v>
      </c>
      <c r="C114" s="847"/>
      <c r="D114" s="911"/>
      <c r="E114" s="847"/>
      <c r="F114" s="911"/>
      <c r="G114" s="911"/>
      <c r="H114" s="847"/>
      <c r="I114" s="911"/>
      <c r="J114" s="890"/>
    </row>
    <row r="115" spans="1:9" ht="12.75">
      <c r="A115" s="880">
        <f>A114+1</f>
        <v>76</v>
      </c>
      <c r="B115" s="841" t="s">
        <v>530</v>
      </c>
      <c r="C115" s="144"/>
      <c r="D115" s="912"/>
      <c r="E115" s="144"/>
      <c r="F115" s="912"/>
      <c r="G115" s="912"/>
      <c r="H115" s="144"/>
      <c r="I115" s="912"/>
    </row>
    <row r="116" spans="1:10" ht="12.75">
      <c r="A116" s="880">
        <f>A115+1</f>
        <v>77</v>
      </c>
      <c r="B116" s="841" t="str">
        <f>"Monetary Value (Ln "&amp;A114&amp;" * Ln "&amp;A115&amp;")"</f>
        <v>Monetary Value (Ln 75 * Ln 76)</v>
      </c>
      <c r="C116" s="482">
        <f aca="true" t="shared" si="32" ref="C116:I116">C114*C115</f>
        <v>0</v>
      </c>
      <c r="D116" s="482"/>
      <c r="E116" s="482">
        <f t="shared" si="32"/>
        <v>0</v>
      </c>
      <c r="F116" s="482">
        <f t="shared" si="32"/>
        <v>0</v>
      </c>
      <c r="G116" s="482">
        <f t="shared" si="32"/>
        <v>0</v>
      </c>
      <c r="H116" s="482">
        <f t="shared" si="32"/>
        <v>0</v>
      </c>
      <c r="I116" s="482">
        <f t="shared" si="32"/>
        <v>0</v>
      </c>
      <c r="J116" s="887">
        <f>SUM(C116:I116)</f>
        <v>0</v>
      </c>
    </row>
    <row r="117" spans="1:10" ht="12.75">
      <c r="A117" s="880">
        <f>A116+1</f>
        <v>78</v>
      </c>
      <c r="B117" s="841" t="str">
        <f>"Dividend Amount (Ln "&amp;A113&amp;" * Ln "&amp;A116&amp;")"</f>
        <v>Dividend Amount (Ln 74 * Ln 77)</v>
      </c>
      <c r="C117" s="482">
        <f aca="true" t="shared" si="33" ref="C117:I117">C116*C113</f>
        <v>0</v>
      </c>
      <c r="D117" s="482"/>
      <c r="E117" s="482">
        <f t="shared" si="33"/>
        <v>0</v>
      </c>
      <c r="F117" s="482">
        <f t="shared" si="33"/>
        <v>0</v>
      </c>
      <c r="G117" s="482">
        <f t="shared" si="33"/>
        <v>0</v>
      </c>
      <c r="H117" s="482">
        <f t="shared" si="33"/>
        <v>0</v>
      </c>
      <c r="I117" s="482">
        <f t="shared" si="33"/>
        <v>0</v>
      </c>
      <c r="J117" s="887">
        <f>SUM(C117:I117)</f>
        <v>0</v>
      </c>
    </row>
    <row r="119" spans="1:9" ht="12.75">
      <c r="A119" s="880">
        <f>A117+1</f>
        <v>79</v>
      </c>
      <c r="B119" s="841" t="s">
        <v>528</v>
      </c>
      <c r="C119" s="846"/>
      <c r="D119" s="909"/>
      <c r="E119" s="910"/>
      <c r="F119" s="909"/>
      <c r="G119" s="909"/>
      <c r="H119" s="846"/>
      <c r="I119" s="909"/>
    </row>
    <row r="120" spans="1:9" ht="12.75">
      <c r="A120" s="880">
        <f>A119+1</f>
        <v>80</v>
      </c>
      <c r="B120" s="841" t="s">
        <v>529</v>
      </c>
      <c r="C120" s="847"/>
      <c r="D120" s="911"/>
      <c r="E120" s="847"/>
      <c r="F120" s="911"/>
      <c r="G120" s="911"/>
      <c r="H120" s="847"/>
      <c r="I120" s="911"/>
    </row>
    <row r="121" spans="1:9" ht="12.75">
      <c r="A121" s="880">
        <f>A120+1</f>
        <v>81</v>
      </c>
      <c r="B121" s="841" t="s">
        <v>530</v>
      </c>
      <c r="C121" s="144"/>
      <c r="D121" s="912"/>
      <c r="E121" s="144"/>
      <c r="F121" s="912"/>
      <c r="G121" s="912"/>
      <c r="H121" s="144"/>
      <c r="I121" s="912"/>
    </row>
    <row r="122" spans="1:10" ht="12.75">
      <c r="A122" s="880">
        <f>A121+1</f>
        <v>82</v>
      </c>
      <c r="B122" s="841" t="str">
        <f>"Monetary Value (Ln "&amp;A120&amp;" * Ln "&amp;A121&amp;")"</f>
        <v>Monetary Value (Ln 80 * Ln 81)</v>
      </c>
      <c r="C122" s="482">
        <f aca="true" t="shared" si="34" ref="C122:I122">C120*C121</f>
        <v>0</v>
      </c>
      <c r="D122" s="482"/>
      <c r="E122" s="482">
        <f t="shared" si="34"/>
        <v>0</v>
      </c>
      <c r="F122" s="482">
        <f t="shared" si="34"/>
        <v>0</v>
      </c>
      <c r="G122" s="482">
        <f t="shared" si="34"/>
        <v>0</v>
      </c>
      <c r="H122" s="482">
        <f t="shared" si="34"/>
        <v>0</v>
      </c>
      <c r="I122" s="482">
        <f t="shared" si="34"/>
        <v>0</v>
      </c>
      <c r="J122" s="887">
        <f>SUM(C122:I122)</f>
        <v>0</v>
      </c>
    </row>
    <row r="123" spans="1:10" ht="12.75">
      <c r="A123" s="880">
        <f>A122+1</f>
        <v>83</v>
      </c>
      <c r="B123" s="841" t="str">
        <f>"Dividend Amount (Ln "&amp;A119&amp;" * Ln "&amp;A122&amp;")"</f>
        <v>Dividend Amount (Ln 79 * Ln 82)</v>
      </c>
      <c r="C123" s="482">
        <f aca="true" t="shared" si="35" ref="C123:I123">C122*C119</f>
        <v>0</v>
      </c>
      <c r="D123" s="482"/>
      <c r="E123" s="482">
        <f t="shared" si="35"/>
        <v>0</v>
      </c>
      <c r="F123" s="482">
        <f t="shared" si="35"/>
        <v>0</v>
      </c>
      <c r="G123" s="482">
        <f t="shared" si="35"/>
        <v>0</v>
      </c>
      <c r="H123" s="482">
        <f t="shared" si="35"/>
        <v>0</v>
      </c>
      <c r="I123" s="482">
        <f t="shared" si="35"/>
        <v>0</v>
      </c>
      <c r="J123" s="887">
        <f>SUM(C123:I123)</f>
        <v>0</v>
      </c>
    </row>
    <row r="125" spans="1:9" ht="12.75">
      <c r="A125" s="880">
        <f>A123+1</f>
        <v>84</v>
      </c>
      <c r="B125" s="841" t="s">
        <v>528</v>
      </c>
      <c r="C125" s="846"/>
      <c r="D125" s="909"/>
      <c r="E125" s="910"/>
      <c r="F125" s="909"/>
      <c r="G125" s="909"/>
      <c r="H125" s="846"/>
      <c r="I125" s="909"/>
    </row>
    <row r="126" spans="1:9" ht="12.75">
      <c r="A126" s="880">
        <f>A125+1</f>
        <v>85</v>
      </c>
      <c r="B126" s="841" t="s">
        <v>529</v>
      </c>
      <c r="C126" s="847"/>
      <c r="D126" s="911"/>
      <c r="E126" s="847"/>
      <c r="F126" s="911"/>
      <c r="G126" s="911"/>
      <c r="H126" s="847"/>
      <c r="I126" s="911"/>
    </row>
    <row r="127" spans="1:9" ht="12.75">
      <c r="A127" s="880">
        <f>A126+1</f>
        <v>86</v>
      </c>
      <c r="B127" s="841" t="s">
        <v>530</v>
      </c>
      <c r="C127" s="144"/>
      <c r="D127" s="912"/>
      <c r="E127" s="144"/>
      <c r="F127" s="912"/>
      <c r="G127" s="912"/>
      <c r="H127" s="144"/>
      <c r="I127" s="912"/>
    </row>
    <row r="128" spans="1:10" ht="12.75">
      <c r="A128" s="880">
        <f>A127+1</f>
        <v>87</v>
      </c>
      <c r="B128" s="841" t="str">
        <f>"Monetary Value (Ln "&amp;A126&amp;" * Ln "&amp;A127&amp;")"</f>
        <v>Monetary Value (Ln 85 * Ln 86)</v>
      </c>
      <c r="C128" s="482">
        <f aca="true" t="shared" si="36" ref="C128:I128">C126*C127</f>
        <v>0</v>
      </c>
      <c r="D128" s="482"/>
      <c r="E128" s="482">
        <f t="shared" si="36"/>
        <v>0</v>
      </c>
      <c r="F128" s="482">
        <f t="shared" si="36"/>
        <v>0</v>
      </c>
      <c r="G128" s="482">
        <f t="shared" si="36"/>
        <v>0</v>
      </c>
      <c r="H128" s="482">
        <f t="shared" si="36"/>
        <v>0</v>
      </c>
      <c r="I128" s="482">
        <f t="shared" si="36"/>
        <v>0</v>
      </c>
      <c r="J128" s="887">
        <f>SUM(C128:I128)</f>
        <v>0</v>
      </c>
    </row>
    <row r="129" spans="1:10" ht="12.75">
      <c r="A129" s="880">
        <f>A128+1</f>
        <v>88</v>
      </c>
      <c r="B129" s="841" t="str">
        <f>"Dividend Amount (Ln "&amp;A125&amp;" * Ln "&amp;A128&amp;")"</f>
        <v>Dividend Amount (Ln 84 * Ln 87)</v>
      </c>
      <c r="C129" s="482">
        <f aca="true" t="shared" si="37" ref="C129:I129">C128*C125</f>
        <v>0</v>
      </c>
      <c r="D129" s="482"/>
      <c r="E129" s="482">
        <f t="shared" si="37"/>
        <v>0</v>
      </c>
      <c r="F129" s="482">
        <f t="shared" si="37"/>
        <v>0</v>
      </c>
      <c r="G129" s="482">
        <f t="shared" si="37"/>
        <v>0</v>
      </c>
      <c r="H129" s="482">
        <f t="shared" si="37"/>
        <v>0</v>
      </c>
      <c r="I129" s="482">
        <f t="shared" si="37"/>
        <v>0</v>
      </c>
      <c r="J129" s="887">
        <f>SUM(C129:I129)</f>
        <v>0</v>
      </c>
    </row>
    <row r="131" spans="1:9" ht="12.75">
      <c r="A131" s="880">
        <f>A129+1</f>
        <v>89</v>
      </c>
      <c r="B131" s="841" t="s">
        <v>528</v>
      </c>
      <c r="C131" s="846"/>
      <c r="D131" s="909"/>
      <c r="E131" s="910"/>
      <c r="F131" s="909"/>
      <c r="G131" s="909"/>
      <c r="H131" s="846"/>
      <c r="I131" s="909"/>
    </row>
    <row r="132" spans="1:9" ht="12.75">
      <c r="A132" s="880">
        <f>A131+1</f>
        <v>90</v>
      </c>
      <c r="B132" s="841" t="s">
        <v>529</v>
      </c>
      <c r="C132" s="847"/>
      <c r="D132" s="911"/>
      <c r="E132" s="847"/>
      <c r="F132" s="911"/>
      <c r="G132" s="911"/>
      <c r="H132" s="847"/>
      <c r="I132" s="911"/>
    </row>
    <row r="133" spans="1:9" ht="12.75">
      <c r="A133" s="880">
        <f>A132+1</f>
        <v>91</v>
      </c>
      <c r="B133" s="841" t="s">
        <v>530</v>
      </c>
      <c r="C133" s="144"/>
      <c r="D133" s="912"/>
      <c r="E133" s="144"/>
      <c r="F133" s="912"/>
      <c r="G133" s="912"/>
      <c r="H133" s="144"/>
      <c r="I133" s="912"/>
    </row>
    <row r="134" spans="1:10" ht="12.75">
      <c r="A134" s="880">
        <f>A133+1</f>
        <v>92</v>
      </c>
      <c r="B134" s="841" t="str">
        <f>"Monetary Value (Ln "&amp;A132&amp;" * Ln "&amp;A133&amp;")"</f>
        <v>Monetary Value (Ln 90 * Ln 91)</v>
      </c>
      <c r="C134" s="482">
        <f aca="true" t="shared" si="38" ref="C134:I134">C132*C133</f>
        <v>0</v>
      </c>
      <c r="D134" s="482"/>
      <c r="E134" s="482">
        <f t="shared" si="38"/>
        <v>0</v>
      </c>
      <c r="F134" s="482">
        <f t="shared" si="38"/>
        <v>0</v>
      </c>
      <c r="G134" s="482">
        <f t="shared" si="38"/>
        <v>0</v>
      </c>
      <c r="H134" s="482">
        <f t="shared" si="38"/>
        <v>0</v>
      </c>
      <c r="I134" s="482">
        <f t="shared" si="38"/>
        <v>0</v>
      </c>
      <c r="J134" s="887">
        <f>SUM(C134:I134)</f>
        <v>0</v>
      </c>
    </row>
    <row r="135" spans="1:10" ht="12.75">
      <c r="A135" s="880">
        <f>A134+1</f>
        <v>93</v>
      </c>
      <c r="B135" s="841" t="str">
        <f>"Dividend Amount (Ln "&amp;A131&amp;" * Ln "&amp;A134&amp;")"</f>
        <v>Dividend Amount (Ln 89 * Ln 92)</v>
      </c>
      <c r="C135" s="482">
        <f aca="true" t="shared" si="39" ref="C135:I135">C134*C131</f>
        <v>0</v>
      </c>
      <c r="D135" s="482"/>
      <c r="E135" s="482">
        <f t="shared" si="39"/>
        <v>0</v>
      </c>
      <c r="F135" s="482">
        <f t="shared" si="39"/>
        <v>0</v>
      </c>
      <c r="G135" s="482">
        <f t="shared" si="39"/>
        <v>0</v>
      </c>
      <c r="H135" s="482">
        <f t="shared" si="39"/>
        <v>0</v>
      </c>
      <c r="I135" s="482">
        <f t="shared" si="39"/>
        <v>0</v>
      </c>
      <c r="J135" s="887">
        <f>SUM(C135:I135)</f>
        <v>0</v>
      </c>
    </row>
    <row r="136" ht="12.75">
      <c r="B136" s="841"/>
    </row>
    <row r="137" spans="1:10" ht="12.75">
      <c r="A137" s="880">
        <f>A135+1</f>
        <v>94</v>
      </c>
      <c r="B137" s="839" t="str">
        <f>"Preferred Stock (Lns "&amp;A116&amp;", "&amp;A122&amp;", "&amp;A128&amp;","&amp;A134&amp;")"</f>
        <v>Preferred Stock (Lns 77, 82, 87,92)</v>
      </c>
      <c r="C137" s="887">
        <f aca="true" t="shared" si="40" ref="C137:I138">C116+C122+C128+C134</f>
        <v>0</v>
      </c>
      <c r="D137" s="887"/>
      <c r="E137" s="887">
        <f t="shared" si="40"/>
        <v>0</v>
      </c>
      <c r="F137" s="887">
        <f t="shared" si="40"/>
        <v>0</v>
      </c>
      <c r="G137" s="887">
        <f t="shared" si="40"/>
        <v>0</v>
      </c>
      <c r="H137" s="887">
        <f t="shared" si="40"/>
        <v>0</v>
      </c>
      <c r="I137" s="887">
        <f t="shared" si="40"/>
        <v>0</v>
      </c>
      <c r="J137" s="887">
        <f>SUM(C137:I137)</f>
        <v>0</v>
      </c>
    </row>
    <row r="138" spans="1:10" ht="12.75">
      <c r="A138" s="880">
        <f>A137+1</f>
        <v>95</v>
      </c>
      <c r="B138" s="839" t="str">
        <f>"Preferred Dividends (Lns "&amp;A117&amp;", "&amp;A123&amp;", "&amp;A129&amp;","&amp;A135&amp;")"</f>
        <v>Preferred Dividends (Lns 78, 83, 88,93)</v>
      </c>
      <c r="C138" s="887">
        <f t="shared" si="40"/>
        <v>0</v>
      </c>
      <c r="D138" s="887"/>
      <c r="E138" s="887">
        <f t="shared" si="40"/>
        <v>0</v>
      </c>
      <c r="F138" s="887">
        <f t="shared" si="40"/>
        <v>0</v>
      </c>
      <c r="G138" s="887">
        <f t="shared" si="40"/>
        <v>0</v>
      </c>
      <c r="H138" s="887">
        <f t="shared" si="40"/>
        <v>0</v>
      </c>
      <c r="I138" s="887">
        <f t="shared" si="40"/>
        <v>0</v>
      </c>
      <c r="J138" s="887">
        <f>SUM(C138:I138)</f>
        <v>0</v>
      </c>
    </row>
    <row r="139" ht="12.75">
      <c r="B139" s="891"/>
    </row>
    <row r="140" ht="15">
      <c r="A140" s="838" t="s">
        <v>531</v>
      </c>
    </row>
    <row r="141" spans="1:10" ht="12.75">
      <c r="A141" s="880">
        <f>A138+1</f>
        <v>96</v>
      </c>
      <c r="B141" s="658" t="s">
        <v>532</v>
      </c>
      <c r="C141" s="144"/>
      <c r="D141" s="144"/>
      <c r="E141" s="144"/>
      <c r="F141" s="144"/>
      <c r="G141" s="144"/>
      <c r="H141" s="144"/>
      <c r="I141" s="144"/>
      <c r="J141" s="887">
        <f>SUM(C141:I141)</f>
        <v>0</v>
      </c>
    </row>
    <row r="142" spans="1:10" ht="12.75">
      <c r="A142" s="880">
        <f>A141+1</f>
        <v>97</v>
      </c>
      <c r="B142" s="658" t="str">
        <f>"Less: Preferred Stock (Ln "&amp;A137&amp;" Above)"</f>
        <v>Less: Preferred Stock (Ln 94 Above)</v>
      </c>
      <c r="C142" s="483">
        <f>C137</f>
        <v>0</v>
      </c>
      <c r="D142" s="483"/>
      <c r="E142" s="483">
        <f>E137</f>
        <v>0</v>
      </c>
      <c r="F142" s="483">
        <f>F137</f>
        <v>0</v>
      </c>
      <c r="G142" s="483">
        <f>G137</f>
        <v>0</v>
      </c>
      <c r="H142" s="483">
        <f>H137</f>
        <v>0</v>
      </c>
      <c r="I142" s="483">
        <f>I137</f>
        <v>0</v>
      </c>
      <c r="J142" s="887">
        <f>SUM(C142:I142)</f>
        <v>0</v>
      </c>
    </row>
    <row r="143" spans="1:10" ht="12.75">
      <c r="A143" s="880">
        <f>A142+1</f>
        <v>98</v>
      </c>
      <c r="B143" s="658" t="s">
        <v>533</v>
      </c>
      <c r="C143" s="845"/>
      <c r="D143" s="845"/>
      <c r="E143" s="845"/>
      <c r="F143" s="845"/>
      <c r="G143" s="845"/>
      <c r="H143" s="845"/>
      <c r="I143" s="845"/>
      <c r="J143" s="887">
        <f>SUM(C143:I143)</f>
        <v>0</v>
      </c>
    </row>
    <row r="144" spans="1:10" ht="12.75">
      <c r="A144" s="880">
        <f>A143+1</f>
        <v>99</v>
      </c>
      <c r="B144" s="658" t="s">
        <v>534</v>
      </c>
      <c r="C144" s="145"/>
      <c r="D144" s="145"/>
      <c r="E144" s="145"/>
      <c r="F144" s="145"/>
      <c r="G144" s="145"/>
      <c r="H144" s="145"/>
      <c r="I144" s="145"/>
      <c r="J144" s="892">
        <f>SUM(C144:I144)</f>
        <v>0</v>
      </c>
    </row>
    <row r="145" spans="1:10" ht="12.75">
      <c r="A145" s="880">
        <f>A144+1</f>
        <v>100</v>
      </c>
      <c r="B145" s="840" t="s">
        <v>535</v>
      </c>
      <c r="C145" s="825">
        <f aca="true" t="shared" si="41" ref="C145:J145">C141-C142-C143-C144</f>
        <v>0</v>
      </c>
      <c r="D145" s="825"/>
      <c r="E145" s="825">
        <f t="shared" si="41"/>
        <v>0</v>
      </c>
      <c r="F145" s="825">
        <f t="shared" si="41"/>
        <v>0</v>
      </c>
      <c r="G145" s="825">
        <f t="shared" si="41"/>
        <v>0</v>
      </c>
      <c r="H145" s="825">
        <f t="shared" si="41"/>
        <v>0</v>
      </c>
      <c r="I145" s="825">
        <f t="shared" si="41"/>
        <v>0</v>
      </c>
      <c r="J145" s="825">
        <f t="shared" si="41"/>
        <v>0</v>
      </c>
    </row>
    <row r="147" ht="15">
      <c r="A147" s="838" t="s">
        <v>536</v>
      </c>
    </row>
    <row r="148" spans="1:10" ht="12.75">
      <c r="A148" s="880">
        <f>A145+1</f>
        <v>101</v>
      </c>
      <c r="B148" s="462" t="str">
        <f>"Long Term Debt (Ln "&amp;A99&amp;" Above)"</f>
        <v>Long Term Debt (Ln 65 Above)</v>
      </c>
      <c r="C148" s="887">
        <f aca="true" t="shared" si="42" ref="C148:J148">C99</f>
        <v>0</v>
      </c>
      <c r="D148" s="887"/>
      <c r="E148" s="887">
        <f t="shared" si="42"/>
        <v>0</v>
      </c>
      <c r="F148" s="887">
        <f t="shared" si="42"/>
        <v>0</v>
      </c>
      <c r="G148" s="887">
        <f t="shared" si="42"/>
        <v>0</v>
      </c>
      <c r="H148" s="887">
        <f t="shared" si="42"/>
        <v>0</v>
      </c>
      <c r="I148" s="887">
        <f t="shared" si="42"/>
        <v>0</v>
      </c>
      <c r="J148" s="887">
        <f t="shared" si="42"/>
        <v>0</v>
      </c>
    </row>
    <row r="149" spans="1:10" ht="12.75">
      <c r="A149" s="880">
        <f>A148+1</f>
        <v>102</v>
      </c>
      <c r="B149" s="462" t="str">
        <f>"Preferred Stock (Ln "&amp;A137&amp;" Above)"</f>
        <v>Preferred Stock (Ln 94 Above)</v>
      </c>
      <c r="C149" s="887">
        <f aca="true" t="shared" si="43" ref="C149:J149">C137</f>
        <v>0</v>
      </c>
      <c r="D149" s="887"/>
      <c r="E149" s="887">
        <f t="shared" si="43"/>
        <v>0</v>
      </c>
      <c r="F149" s="887">
        <f t="shared" si="43"/>
        <v>0</v>
      </c>
      <c r="G149" s="887">
        <f t="shared" si="43"/>
        <v>0</v>
      </c>
      <c r="H149" s="887">
        <f t="shared" si="43"/>
        <v>0</v>
      </c>
      <c r="I149" s="887">
        <f t="shared" si="43"/>
        <v>0</v>
      </c>
      <c r="J149" s="887">
        <f t="shared" si="43"/>
        <v>0</v>
      </c>
    </row>
    <row r="150" spans="1:10" ht="12.75">
      <c r="A150" s="880">
        <f>A149+1</f>
        <v>103</v>
      </c>
      <c r="B150" s="462" t="str">
        <f>"Common Equity (Ln "&amp;A145&amp;" Above)"</f>
        <v>Common Equity (Ln 100 Above)</v>
      </c>
      <c r="C150" s="892">
        <f aca="true" t="shared" si="44" ref="C150:J150">C145</f>
        <v>0</v>
      </c>
      <c r="D150" s="892"/>
      <c r="E150" s="892">
        <f t="shared" si="44"/>
        <v>0</v>
      </c>
      <c r="F150" s="892">
        <f t="shared" si="44"/>
        <v>0</v>
      </c>
      <c r="G150" s="892">
        <f t="shared" si="44"/>
        <v>0</v>
      </c>
      <c r="H150" s="892">
        <f t="shared" si="44"/>
        <v>0</v>
      </c>
      <c r="I150" s="892">
        <f t="shared" si="44"/>
        <v>0</v>
      </c>
      <c r="J150" s="892">
        <f t="shared" si="44"/>
        <v>0</v>
      </c>
    </row>
    <row r="151" spans="1:10" ht="12.75">
      <c r="A151" s="880">
        <f>A150+1</f>
        <v>104</v>
      </c>
      <c r="B151" s="880" t="s">
        <v>537</v>
      </c>
      <c r="C151" s="887">
        <f aca="true" t="shared" si="45" ref="C151:J151">SUM(C148:C150)</f>
        <v>0</v>
      </c>
      <c r="D151" s="887"/>
      <c r="E151" s="887">
        <f t="shared" si="45"/>
        <v>0</v>
      </c>
      <c r="F151" s="887">
        <f t="shared" si="45"/>
        <v>0</v>
      </c>
      <c r="G151" s="887">
        <f t="shared" si="45"/>
        <v>0</v>
      </c>
      <c r="H151" s="887">
        <f t="shared" si="45"/>
        <v>0</v>
      </c>
      <c r="I151" s="887">
        <f t="shared" si="45"/>
        <v>0</v>
      </c>
      <c r="J151" s="887">
        <f t="shared" si="45"/>
        <v>0</v>
      </c>
    </row>
    <row r="153" spans="1:10" ht="12.75">
      <c r="A153" s="880">
        <f>A151+1</f>
        <v>105</v>
      </c>
      <c r="B153" s="462" t="str">
        <f>"LTD Capital Shares (Ln "&amp;A148&amp;" / Ln "&amp;A151&amp;")"</f>
        <v>LTD Capital Shares (Ln 101 / Ln 104)</v>
      </c>
      <c r="C153" s="893" t="e">
        <f aca="true" t="shared" si="46" ref="C153:J153">C148/C151</f>
        <v>#DIV/0!</v>
      </c>
      <c r="D153" s="893"/>
      <c r="E153" s="893" t="e">
        <f t="shared" si="46"/>
        <v>#DIV/0!</v>
      </c>
      <c r="F153" s="893" t="e">
        <f t="shared" si="46"/>
        <v>#DIV/0!</v>
      </c>
      <c r="G153" s="893" t="e">
        <f t="shared" si="46"/>
        <v>#DIV/0!</v>
      </c>
      <c r="H153" s="893" t="e">
        <f t="shared" si="46"/>
        <v>#DIV/0!</v>
      </c>
      <c r="I153" s="893" t="e">
        <f t="shared" si="46"/>
        <v>#DIV/0!</v>
      </c>
      <c r="J153" s="893" t="e">
        <f t="shared" si="46"/>
        <v>#DIV/0!</v>
      </c>
    </row>
    <row r="154" spans="1:10" ht="12.75">
      <c r="A154" s="880">
        <f>A153+1</f>
        <v>106</v>
      </c>
      <c r="B154" s="462" t="str">
        <f>"Preferred Stock Capital Shares (Ln "&amp;A149&amp;" / Ln "&amp;A151&amp;")"</f>
        <v>Preferred Stock Capital Shares (Ln 102 / Ln 104)</v>
      </c>
      <c r="C154" s="893" t="e">
        <f aca="true" t="shared" si="47" ref="C154:J154">C149/C151</f>
        <v>#DIV/0!</v>
      </c>
      <c r="D154" s="893"/>
      <c r="E154" s="893" t="e">
        <f t="shared" si="47"/>
        <v>#DIV/0!</v>
      </c>
      <c r="F154" s="893" t="e">
        <f t="shared" si="47"/>
        <v>#DIV/0!</v>
      </c>
      <c r="G154" s="893" t="e">
        <f t="shared" si="47"/>
        <v>#DIV/0!</v>
      </c>
      <c r="H154" s="893" t="e">
        <f t="shared" si="47"/>
        <v>#DIV/0!</v>
      </c>
      <c r="I154" s="893" t="e">
        <f t="shared" si="47"/>
        <v>#DIV/0!</v>
      </c>
      <c r="J154" s="893" t="e">
        <f t="shared" si="47"/>
        <v>#DIV/0!</v>
      </c>
    </row>
    <row r="155" spans="1:10" ht="12.75">
      <c r="A155" s="894">
        <f>A154+1</f>
        <v>107</v>
      </c>
      <c r="B155" s="462" t="str">
        <f>"Common Equity Capital Shares (Ln "&amp;A150&amp;" / Ln "&amp;A151&amp;")"</f>
        <v>Common Equity Capital Shares (Ln 103 / Ln 104)</v>
      </c>
      <c r="C155" s="895" t="e">
        <f aca="true" t="shared" si="48" ref="C155:J155">C150/C151</f>
        <v>#DIV/0!</v>
      </c>
      <c r="D155" s="895"/>
      <c r="E155" s="895" t="e">
        <f t="shared" si="48"/>
        <v>#DIV/0!</v>
      </c>
      <c r="F155" s="895" t="e">
        <f t="shared" si="48"/>
        <v>#DIV/0!</v>
      </c>
      <c r="G155" s="895" t="e">
        <f t="shared" si="48"/>
        <v>#DIV/0!</v>
      </c>
      <c r="H155" s="895" t="e">
        <f t="shared" si="48"/>
        <v>#DIV/0!</v>
      </c>
      <c r="I155" s="895" t="e">
        <f t="shared" si="48"/>
        <v>#DIV/0!</v>
      </c>
      <c r="J155" s="895" t="e">
        <f t="shared" si="48"/>
        <v>#DIV/0!</v>
      </c>
    </row>
    <row r="156" spans="1:10" ht="12.75">
      <c r="A156" s="894"/>
      <c r="B156" s="462"/>
      <c r="C156" s="895"/>
      <c r="D156" s="895"/>
      <c r="E156" s="895"/>
      <c r="F156" s="895"/>
      <c r="G156" s="895"/>
      <c r="H156" s="895"/>
      <c r="I156" s="895"/>
      <c r="J156" s="895"/>
    </row>
    <row r="157" spans="1:10" ht="12.75">
      <c r="A157" s="894">
        <f>A155+1</f>
        <v>108</v>
      </c>
      <c r="B157" s="839" t="s">
        <v>568</v>
      </c>
      <c r="C157" s="896"/>
      <c r="D157" s="896"/>
      <c r="E157" s="896"/>
      <c r="F157" s="896"/>
      <c r="G157" s="896"/>
      <c r="H157" s="896"/>
      <c r="I157" s="896"/>
      <c r="J157" s="896"/>
    </row>
    <row r="158" spans="1:10" ht="12.75">
      <c r="A158" s="894"/>
      <c r="B158" s="462"/>
      <c r="C158" s="895"/>
      <c r="D158" s="895"/>
      <c r="E158" s="895"/>
      <c r="F158" s="895"/>
      <c r="G158" s="895"/>
      <c r="H158" s="895"/>
      <c r="I158" s="895"/>
      <c r="J158" s="895"/>
    </row>
    <row r="159" spans="1:10" ht="12.75">
      <c r="A159" s="894">
        <f>A157+1</f>
        <v>109</v>
      </c>
      <c r="B159" s="839" t="s">
        <v>568</v>
      </c>
      <c r="C159" s="895"/>
      <c r="D159" s="895"/>
      <c r="E159" s="895"/>
      <c r="F159" s="895"/>
      <c r="G159" s="895"/>
      <c r="H159" s="895"/>
      <c r="I159" s="895"/>
      <c r="J159" s="895"/>
    </row>
    <row r="160" spans="1:10" ht="12.75">
      <c r="A160" s="894">
        <f>A159+1</f>
        <v>110</v>
      </c>
      <c r="B160" s="839" t="s">
        <v>568</v>
      </c>
      <c r="C160" s="895"/>
      <c r="D160" s="895"/>
      <c r="E160" s="895"/>
      <c r="F160" s="895"/>
      <c r="G160" s="895"/>
      <c r="H160" s="895"/>
      <c r="I160" s="895"/>
      <c r="J160" s="895"/>
    </row>
    <row r="161" spans="1:10" ht="12.75">
      <c r="A161" s="894">
        <f>A160+1</f>
        <v>111</v>
      </c>
      <c r="B161" s="839" t="s">
        <v>568</v>
      </c>
      <c r="C161" s="895"/>
      <c r="D161" s="895"/>
      <c r="E161" s="895"/>
      <c r="F161" s="895"/>
      <c r="G161" s="895"/>
      <c r="H161" s="895"/>
      <c r="I161" s="895"/>
      <c r="J161" s="895"/>
    </row>
    <row r="162" spans="2:10" ht="12.75">
      <c r="B162" s="462"/>
      <c r="C162" s="893"/>
      <c r="D162" s="893"/>
      <c r="E162" s="893"/>
      <c r="F162" s="893"/>
      <c r="G162" s="893"/>
      <c r="H162" s="893"/>
      <c r="I162" s="893"/>
      <c r="J162" s="893"/>
    </row>
    <row r="163" ht="15">
      <c r="A163" s="838" t="s">
        <v>538</v>
      </c>
    </row>
    <row r="164" spans="1:10" ht="12.75">
      <c r="A164" s="880">
        <f>A161+1</f>
        <v>112</v>
      </c>
      <c r="B164" s="462" t="str">
        <f>"LTD Capital Cost Rate (Ln "&amp;A110&amp;" / Ln "&amp;A99&amp;")"</f>
        <v>LTD Capital Cost Rate (Ln 73 / Ln 65)</v>
      </c>
      <c r="C164" s="893" t="e">
        <f aca="true" t="shared" si="49" ref="C164:J164">C110/C99</f>
        <v>#DIV/0!</v>
      </c>
      <c r="D164" s="893"/>
      <c r="E164" s="893" t="e">
        <f t="shared" si="49"/>
        <v>#DIV/0!</v>
      </c>
      <c r="F164" s="893" t="e">
        <f t="shared" si="49"/>
        <v>#DIV/0!</v>
      </c>
      <c r="G164" s="893" t="e">
        <f t="shared" si="49"/>
        <v>#DIV/0!</v>
      </c>
      <c r="H164" s="893" t="e">
        <f t="shared" si="49"/>
        <v>#DIV/0!</v>
      </c>
      <c r="I164" s="893" t="e">
        <f t="shared" si="49"/>
        <v>#DIV/0!</v>
      </c>
      <c r="J164" s="893" t="e">
        <f t="shared" si="49"/>
        <v>#DIV/0!</v>
      </c>
    </row>
    <row r="165" spans="1:10" ht="12.75">
      <c r="A165" s="880">
        <f>A164+1</f>
        <v>113</v>
      </c>
      <c r="B165" s="462" t="str">
        <f>"Preferred Stock Capital Cost Rate (Ln "&amp;A138&amp;" / Ln "&amp;A137&amp;")"</f>
        <v>Preferred Stock Capital Cost Rate (Ln 95 / Ln 94)</v>
      </c>
      <c r="C165" s="893">
        <f aca="true" t="shared" si="50" ref="C165:J165">IF(C137=0,0,C138/C137)</f>
        <v>0</v>
      </c>
      <c r="D165" s="893"/>
      <c r="E165" s="893">
        <f t="shared" si="50"/>
        <v>0</v>
      </c>
      <c r="F165" s="893">
        <f t="shared" si="50"/>
        <v>0</v>
      </c>
      <c r="G165" s="893">
        <f t="shared" si="50"/>
        <v>0</v>
      </c>
      <c r="H165" s="893">
        <f t="shared" si="50"/>
        <v>0</v>
      </c>
      <c r="I165" s="893">
        <f t="shared" si="50"/>
        <v>0</v>
      </c>
      <c r="J165" s="893">
        <f t="shared" si="50"/>
        <v>0</v>
      </c>
    </row>
    <row r="166" spans="1:10" ht="12.75">
      <c r="A166" s="880">
        <f>A165+1</f>
        <v>114</v>
      </c>
      <c r="B166" s="462" t="s">
        <v>539</v>
      </c>
      <c r="C166" s="893">
        <v>0.1149</v>
      </c>
      <c r="D166" s="893"/>
      <c r="E166" s="893">
        <v>0.1149</v>
      </c>
      <c r="F166" s="893">
        <v>0.1149</v>
      </c>
      <c r="G166" s="893">
        <v>0.1149</v>
      </c>
      <c r="H166" s="893">
        <v>0.1149</v>
      </c>
      <c r="I166" s="893">
        <v>0.1149</v>
      </c>
      <c r="J166" s="893">
        <v>0.1149</v>
      </c>
    </row>
    <row r="168" ht="15">
      <c r="A168" s="838" t="s">
        <v>540</v>
      </c>
    </row>
    <row r="169" spans="1:10" ht="12.75">
      <c r="A169" s="880">
        <f>A166+1</f>
        <v>115</v>
      </c>
      <c r="B169" s="462" t="str">
        <f>"LTD Weighted Capital Cost Rate (Ln "&amp;A153&amp;" * Ln "&amp;A164&amp;")"</f>
        <v>LTD Weighted Capital Cost Rate (Ln 105 * Ln 112)</v>
      </c>
      <c r="C169" s="893" t="e">
        <f>C153*C164</f>
        <v>#DIV/0!</v>
      </c>
      <c r="D169" s="893"/>
      <c r="E169" s="893" t="e">
        <f aca="true" t="shared" si="51" ref="E169:J169">E153*E164</f>
        <v>#DIV/0!</v>
      </c>
      <c r="F169" s="893" t="e">
        <f t="shared" si="51"/>
        <v>#DIV/0!</v>
      </c>
      <c r="G169" s="893" t="e">
        <f t="shared" si="51"/>
        <v>#DIV/0!</v>
      </c>
      <c r="H169" s="893" t="e">
        <f t="shared" si="51"/>
        <v>#DIV/0!</v>
      </c>
      <c r="I169" s="893" t="e">
        <f t="shared" si="51"/>
        <v>#DIV/0!</v>
      </c>
      <c r="J169" s="893" t="e">
        <f t="shared" si="51"/>
        <v>#DIV/0!</v>
      </c>
    </row>
    <row r="170" spans="1:10" ht="12.75">
      <c r="A170" s="880">
        <f>A169+1</f>
        <v>116</v>
      </c>
      <c r="B170" s="462" t="str">
        <f>"Preferred Stock Capital Cost Rate (Ln "&amp;A154&amp;" * Ln "&amp;A165&amp;")"</f>
        <v>Preferred Stock Capital Cost Rate (Ln 106 * Ln 113)</v>
      </c>
      <c r="C170" s="893" t="e">
        <f>C154*C165</f>
        <v>#DIV/0!</v>
      </c>
      <c r="D170" s="893"/>
      <c r="E170" s="893" t="e">
        <f aca="true" t="shared" si="52" ref="E170:J170">E154*E165</f>
        <v>#DIV/0!</v>
      </c>
      <c r="F170" s="893" t="e">
        <f t="shared" si="52"/>
        <v>#DIV/0!</v>
      </c>
      <c r="G170" s="893" t="e">
        <f t="shared" si="52"/>
        <v>#DIV/0!</v>
      </c>
      <c r="H170" s="893" t="e">
        <f t="shared" si="52"/>
        <v>#DIV/0!</v>
      </c>
      <c r="I170" s="893" t="e">
        <f t="shared" si="52"/>
        <v>#DIV/0!</v>
      </c>
      <c r="J170" s="893" t="e">
        <f t="shared" si="52"/>
        <v>#DIV/0!</v>
      </c>
    </row>
    <row r="171" spans="1:10" ht="12.75">
      <c r="A171" s="880">
        <f>A170+1</f>
        <v>117</v>
      </c>
      <c r="B171" s="462" t="str">
        <f>"Common Equity Capital Cost Rate (Ln "&amp;A155&amp;" * Ln "&amp;A166&amp;")"</f>
        <v>Common Equity Capital Cost Rate (Ln 107 * Ln 114)</v>
      </c>
      <c r="C171" s="897" t="e">
        <f>C155*C166</f>
        <v>#DIV/0!</v>
      </c>
      <c r="D171" s="897"/>
      <c r="E171" s="897" t="e">
        <f aca="true" t="shared" si="53" ref="E171:J171">E155*E166</f>
        <v>#DIV/0!</v>
      </c>
      <c r="F171" s="897" t="e">
        <f t="shared" si="53"/>
        <v>#DIV/0!</v>
      </c>
      <c r="G171" s="897" t="e">
        <f t="shared" si="53"/>
        <v>#DIV/0!</v>
      </c>
      <c r="H171" s="897" t="e">
        <f t="shared" si="53"/>
        <v>#DIV/0!</v>
      </c>
      <c r="I171" s="897" t="e">
        <f t="shared" si="53"/>
        <v>#DIV/0!</v>
      </c>
      <c r="J171" s="897" t="e">
        <f t="shared" si="53"/>
        <v>#DIV/0!</v>
      </c>
    </row>
    <row r="172" spans="1:10" ht="12.75">
      <c r="A172" s="880">
        <f>A171+1</f>
        <v>118</v>
      </c>
      <c r="B172" s="898" t="s">
        <v>537</v>
      </c>
      <c r="C172" s="899" t="e">
        <f aca="true" t="shared" si="54" ref="C172:J172">SUM(C169:C171)</f>
        <v>#DIV/0!</v>
      </c>
      <c r="D172" s="899"/>
      <c r="E172" s="899" t="e">
        <f t="shared" si="54"/>
        <v>#DIV/0!</v>
      </c>
      <c r="F172" s="899" t="e">
        <f t="shared" si="54"/>
        <v>#DIV/0!</v>
      </c>
      <c r="G172" s="899" t="e">
        <f t="shared" si="54"/>
        <v>#DIV/0!</v>
      </c>
      <c r="H172" s="899" t="e">
        <f t="shared" si="54"/>
        <v>#DIV/0!</v>
      </c>
      <c r="I172" s="899" t="e">
        <f t="shared" si="54"/>
        <v>#DIV/0!</v>
      </c>
      <c r="J172" s="899" t="e">
        <f t="shared" si="54"/>
        <v>#DIV/0!</v>
      </c>
    </row>
    <row r="175" spans="1:10" ht="12.75">
      <c r="A175" s="1502" t="s">
        <v>516</v>
      </c>
      <c r="B175" s="1502"/>
      <c r="C175" s="1502"/>
      <c r="D175" s="1502"/>
      <c r="E175" s="1502"/>
      <c r="F175" s="1502"/>
      <c r="G175" s="1502"/>
      <c r="H175" s="1502"/>
      <c r="I175" s="1502"/>
      <c r="J175" s="1502"/>
    </row>
    <row r="176" spans="1:10" ht="12.75">
      <c r="A176" s="1502" t="s">
        <v>541</v>
      </c>
      <c r="B176" s="1502"/>
      <c r="C176" s="1502"/>
      <c r="D176" s="1502"/>
      <c r="E176" s="1502"/>
      <c r="F176" s="1502"/>
      <c r="G176" s="1502"/>
      <c r="H176" s="1502"/>
      <c r="I176" s="1502"/>
      <c r="J176" s="1502"/>
    </row>
    <row r="177" spans="1:10" ht="12.75">
      <c r="A177" s="1502" t="s">
        <v>259</v>
      </c>
      <c r="B177" s="1502"/>
      <c r="C177" s="1502"/>
      <c r="D177" s="1502"/>
      <c r="E177" s="1502"/>
      <c r="F177" s="1502"/>
      <c r="G177" s="1502"/>
      <c r="H177" s="1502"/>
      <c r="I177" s="1502"/>
      <c r="J177" s="1502"/>
    </row>
    <row r="179" spans="1:10" ht="76.5">
      <c r="A179" s="880" t="s">
        <v>470</v>
      </c>
      <c r="C179" s="881" t="s">
        <v>517</v>
      </c>
      <c r="D179" s="881"/>
      <c r="E179" s="881" t="s">
        <v>518</v>
      </c>
      <c r="F179" s="881" t="s">
        <v>519</v>
      </c>
      <c r="G179" s="881" t="s">
        <v>520</v>
      </c>
      <c r="H179" s="881" t="s">
        <v>521</v>
      </c>
      <c r="I179" s="881" t="s">
        <v>522</v>
      </c>
      <c r="J179" s="881" t="s">
        <v>523</v>
      </c>
    </row>
    <row r="180" ht="15">
      <c r="A180" s="838" t="s">
        <v>542</v>
      </c>
    </row>
    <row r="181" spans="1:10" ht="12.75">
      <c r="A181" s="880">
        <f>A172+1</f>
        <v>119</v>
      </c>
      <c r="B181" s="842" t="str">
        <f>"Average Bonds (Ln "&amp;A7&amp;" + Ln "&amp;A94&amp;") / 2"</f>
        <v>Average Bonds (Ln 1 + Ln 60) / 2</v>
      </c>
      <c r="C181" s="825" t="e">
        <f aca="true" t="shared" si="55" ref="C181:I185">AVERAGE(C7,C94)</f>
        <v>#DIV/0!</v>
      </c>
      <c r="D181" s="825"/>
      <c r="E181" s="825" t="e">
        <f t="shared" si="55"/>
        <v>#DIV/0!</v>
      </c>
      <c r="F181" s="825" t="e">
        <f t="shared" si="55"/>
        <v>#DIV/0!</v>
      </c>
      <c r="G181" s="825" t="e">
        <f t="shared" si="55"/>
        <v>#DIV/0!</v>
      </c>
      <c r="H181" s="825" t="e">
        <f t="shared" si="55"/>
        <v>#DIV/0!</v>
      </c>
      <c r="I181" s="825" t="e">
        <f t="shared" si="55"/>
        <v>#DIV/0!</v>
      </c>
      <c r="J181" s="825" t="e">
        <f>SUM(C181:I181)</f>
        <v>#DIV/0!</v>
      </c>
    </row>
    <row r="182" spans="1:10" ht="12.75">
      <c r="A182" s="880">
        <f>A181+1</f>
        <v>120</v>
      </c>
      <c r="B182" s="842" t="str">
        <f>"Less: Average Reacquired Bonds (Ln "&amp;A8&amp;" + Ln "&amp;A95&amp;") / 2"</f>
        <v>Less: Average Reacquired Bonds (Ln 2 + Ln 61) / 2</v>
      </c>
      <c r="C182" s="825" t="e">
        <f t="shared" si="55"/>
        <v>#DIV/0!</v>
      </c>
      <c r="D182" s="825"/>
      <c r="E182" s="825" t="e">
        <f t="shared" si="55"/>
        <v>#DIV/0!</v>
      </c>
      <c r="F182" s="825" t="e">
        <f t="shared" si="55"/>
        <v>#DIV/0!</v>
      </c>
      <c r="G182" s="825" t="e">
        <f t="shared" si="55"/>
        <v>#DIV/0!</v>
      </c>
      <c r="H182" s="825" t="e">
        <f t="shared" si="55"/>
        <v>#DIV/0!</v>
      </c>
      <c r="I182" s="825" t="e">
        <f t="shared" si="55"/>
        <v>#DIV/0!</v>
      </c>
      <c r="J182" s="825" t="e">
        <f>SUM(C182:I182)</f>
        <v>#DIV/0!</v>
      </c>
    </row>
    <row r="183" spans="1:10" ht="12.75">
      <c r="A183" s="880">
        <f>A182+1</f>
        <v>121</v>
      </c>
      <c r="B183" s="843" t="str">
        <f>"Average LT Advances from Assoc. Companies (Ln "&amp;A9&amp;" + Ln "&amp;A96&amp;") / 2"</f>
        <v>Average LT Advances from Assoc. Companies (Ln 3 + Ln 62) / 2</v>
      </c>
      <c r="C183" s="825" t="e">
        <f t="shared" si="55"/>
        <v>#DIV/0!</v>
      </c>
      <c r="D183" s="825"/>
      <c r="E183" s="825" t="e">
        <f t="shared" si="55"/>
        <v>#DIV/0!</v>
      </c>
      <c r="F183" s="825" t="e">
        <f t="shared" si="55"/>
        <v>#DIV/0!</v>
      </c>
      <c r="G183" s="825" t="e">
        <f t="shared" si="55"/>
        <v>#DIV/0!</v>
      </c>
      <c r="H183" s="825" t="e">
        <f t="shared" si="55"/>
        <v>#DIV/0!</v>
      </c>
      <c r="I183" s="825" t="e">
        <f t="shared" si="55"/>
        <v>#DIV/0!</v>
      </c>
      <c r="J183" s="825" t="e">
        <f>SUM(C183:I183)</f>
        <v>#DIV/0!</v>
      </c>
    </row>
    <row r="184" spans="1:10" ht="12.75">
      <c r="A184" s="880">
        <f>A183+1</f>
        <v>122</v>
      </c>
      <c r="B184" s="843" t="str">
        <f>"Average Senior Unsecured Notes (Ln "&amp;A10&amp;" + Ln "&amp;A97&amp;") / 2"</f>
        <v>Average Senior Unsecured Notes (Ln 4 + Ln 63) / 2</v>
      </c>
      <c r="C184" s="825" t="e">
        <f t="shared" si="55"/>
        <v>#DIV/0!</v>
      </c>
      <c r="D184" s="825"/>
      <c r="E184" s="825" t="e">
        <f t="shared" si="55"/>
        <v>#DIV/0!</v>
      </c>
      <c r="F184" s="825" t="e">
        <f t="shared" si="55"/>
        <v>#DIV/0!</v>
      </c>
      <c r="G184" s="825" t="e">
        <f t="shared" si="55"/>
        <v>#DIV/0!</v>
      </c>
      <c r="H184" s="825" t="e">
        <f t="shared" si="55"/>
        <v>#DIV/0!</v>
      </c>
      <c r="I184" s="825" t="e">
        <f t="shared" si="55"/>
        <v>#DIV/0!</v>
      </c>
      <c r="J184" s="825" t="e">
        <f>SUM(C184:I184)</f>
        <v>#DIV/0!</v>
      </c>
    </row>
    <row r="185" spans="1:10" ht="12.75">
      <c r="A185" s="880">
        <f>A184+1</f>
        <v>123</v>
      </c>
      <c r="B185" s="843" t="str">
        <f>"Less: Average Fair Value Hedges (See Note on Ln "&amp;A188&amp;" below)"</f>
        <v>Less: Average Fair Value Hedges (See Note on Ln 125 below)</v>
      </c>
      <c r="C185" s="900" t="e">
        <f t="shared" si="55"/>
        <v>#DIV/0!</v>
      </c>
      <c r="D185" s="900"/>
      <c r="E185" s="900" t="e">
        <f t="shared" si="55"/>
        <v>#DIV/0!</v>
      </c>
      <c r="F185" s="900" t="e">
        <f t="shared" si="55"/>
        <v>#DIV/0!</v>
      </c>
      <c r="G185" s="900" t="e">
        <f t="shared" si="55"/>
        <v>#DIV/0!</v>
      </c>
      <c r="H185" s="900" t="e">
        <f t="shared" si="55"/>
        <v>#DIV/0!</v>
      </c>
      <c r="I185" s="900" t="e">
        <f t="shared" si="55"/>
        <v>#DIV/0!</v>
      </c>
      <c r="J185" s="882" t="e">
        <f>SUM(C185:I185)</f>
        <v>#DIV/0!</v>
      </c>
    </row>
    <row r="186" spans="1:10" ht="12.75">
      <c r="A186" s="880">
        <f>A185+1</f>
        <v>124</v>
      </c>
      <c r="B186" s="844" t="s">
        <v>543</v>
      </c>
      <c r="C186" s="883" t="e">
        <f aca="true" t="shared" si="56" ref="C186:J186">C181-C182+C183+C184-C185</f>
        <v>#DIV/0!</v>
      </c>
      <c r="D186" s="883"/>
      <c r="E186" s="883" t="e">
        <f t="shared" si="56"/>
        <v>#DIV/0!</v>
      </c>
      <c r="F186" s="883" t="e">
        <f t="shared" si="56"/>
        <v>#DIV/0!</v>
      </c>
      <c r="G186" s="883" t="e">
        <f t="shared" si="56"/>
        <v>#DIV/0!</v>
      </c>
      <c r="H186" s="883" t="e">
        <f t="shared" si="56"/>
        <v>#DIV/0!</v>
      </c>
      <c r="I186" s="883" t="e">
        <f t="shared" si="56"/>
        <v>#DIV/0!</v>
      </c>
      <c r="J186" s="883" t="e">
        <f t="shared" si="56"/>
        <v>#DIV/0!</v>
      </c>
    </row>
    <row r="188" spans="1:10" s="894" customFormat="1" ht="12.75">
      <c r="A188" s="894">
        <f>A186+1</f>
        <v>125</v>
      </c>
      <c r="B188" s="1503" t="s">
        <v>66</v>
      </c>
      <c r="C188" s="1503"/>
      <c r="D188" s="1503"/>
      <c r="E188" s="1503"/>
      <c r="F188" s="1503"/>
      <c r="G188" s="1503"/>
      <c r="H188" s="1503"/>
      <c r="I188" s="1503"/>
      <c r="J188" s="1503"/>
    </row>
    <row r="189" spans="1:10" s="894" customFormat="1" ht="12.75">
      <c r="A189" s="901"/>
      <c r="B189" s="884"/>
      <c r="C189" s="884"/>
      <c r="D189" s="884"/>
      <c r="E189" s="884"/>
      <c r="F189" s="884"/>
      <c r="G189" s="884"/>
      <c r="H189" s="884"/>
      <c r="I189" s="884"/>
      <c r="J189" s="884"/>
    </row>
    <row r="190" spans="1:10" ht="15">
      <c r="A190" s="838" t="str">
        <f>"Development of "&amp;TCOS!O1&amp;" Long Term Debt Interest Expense"</f>
        <v>Development of   Long Term Debt Interest Expense</v>
      </c>
      <c r="B190" s="894"/>
      <c r="C190" s="894"/>
      <c r="D190" s="894"/>
      <c r="E190" s="894"/>
      <c r="F190" s="894"/>
      <c r="G190" s="894"/>
      <c r="H190" s="894"/>
      <c r="I190" s="894"/>
      <c r="J190" s="894"/>
    </row>
    <row r="191" spans="1:10" ht="12.75">
      <c r="A191" s="894">
        <f>A188+1</f>
        <v>126</v>
      </c>
      <c r="B191" s="843" t="str">
        <f aca="true" t="shared" si="57" ref="B191:I191">B17</f>
        <v>Interest on Long Term Debt (256-257.33.i)</v>
      </c>
      <c r="C191" s="483">
        <f t="shared" si="57"/>
        <v>0</v>
      </c>
      <c r="D191" s="483"/>
      <c r="E191" s="483">
        <f t="shared" si="57"/>
        <v>0</v>
      </c>
      <c r="F191" s="483">
        <f t="shared" si="57"/>
        <v>0</v>
      </c>
      <c r="G191" s="483">
        <f t="shared" si="57"/>
        <v>0</v>
      </c>
      <c r="H191" s="483">
        <f t="shared" si="57"/>
        <v>0</v>
      </c>
      <c r="I191" s="483">
        <f t="shared" si="57"/>
        <v>0</v>
      </c>
      <c r="J191" s="483">
        <f aca="true" t="shared" si="58" ref="J191:J196">SUM(C191:I191)</f>
        <v>0</v>
      </c>
    </row>
    <row r="192" spans="1:10" ht="12.75">
      <c r="A192" s="894">
        <f aca="true" t="shared" si="59" ref="A192:A197">A191+1</f>
        <v>127</v>
      </c>
      <c r="B192" s="843" t="str">
        <f aca="true" t="shared" si="60" ref="B192:C196">B18</f>
        <v>Amort of Debt Discount &amp; Expense (117.63.c)</v>
      </c>
      <c r="C192" s="483">
        <f>C18</f>
        <v>0</v>
      </c>
      <c r="D192" s="483"/>
      <c r="E192" s="483">
        <f aca="true" t="shared" si="61" ref="E192:I193">E18</f>
        <v>0</v>
      </c>
      <c r="F192" s="483">
        <f t="shared" si="61"/>
        <v>0</v>
      </c>
      <c r="G192" s="483">
        <f t="shared" si="61"/>
        <v>0</v>
      </c>
      <c r="H192" s="483">
        <f t="shared" si="61"/>
        <v>0</v>
      </c>
      <c r="I192" s="483">
        <f t="shared" si="61"/>
        <v>0</v>
      </c>
      <c r="J192" s="483">
        <f t="shared" si="58"/>
        <v>0</v>
      </c>
    </row>
    <row r="193" spans="1:10" ht="12.75">
      <c r="A193" s="894">
        <f t="shared" si="59"/>
        <v>128</v>
      </c>
      <c r="B193" s="843" t="str">
        <f t="shared" si="60"/>
        <v>Amort of Loss on Reacquired Debt (117.64.c)</v>
      </c>
      <c r="C193" s="483">
        <f t="shared" si="60"/>
        <v>0</v>
      </c>
      <c r="D193" s="483"/>
      <c r="E193" s="483">
        <f t="shared" si="61"/>
        <v>0</v>
      </c>
      <c r="F193" s="483">
        <f t="shared" si="61"/>
        <v>0</v>
      </c>
      <c r="G193" s="483">
        <f t="shared" si="61"/>
        <v>0</v>
      </c>
      <c r="H193" s="483">
        <f t="shared" si="61"/>
        <v>0</v>
      </c>
      <c r="I193" s="483">
        <f t="shared" si="61"/>
        <v>0</v>
      </c>
      <c r="J193" s="483">
        <f t="shared" si="58"/>
        <v>0</v>
      </c>
    </row>
    <row r="194" spans="1:10" ht="12.75">
      <c r="A194" s="894">
        <f t="shared" si="59"/>
        <v>129</v>
      </c>
      <c r="B194" s="843" t="str">
        <f>B20</f>
        <v>Less: Amort of Premium on Debt (117.65.c)</v>
      </c>
      <c r="C194" s="483">
        <f aca="true" t="shared" si="62" ref="C194:I194">C20</f>
        <v>0</v>
      </c>
      <c r="D194" s="483"/>
      <c r="E194" s="483">
        <f t="shared" si="62"/>
        <v>0</v>
      </c>
      <c r="F194" s="483">
        <f t="shared" si="62"/>
        <v>0</v>
      </c>
      <c r="G194" s="483">
        <f t="shared" si="62"/>
        <v>0</v>
      </c>
      <c r="H194" s="483">
        <f t="shared" si="62"/>
        <v>0</v>
      </c>
      <c r="I194" s="483">
        <f t="shared" si="62"/>
        <v>0</v>
      </c>
      <c r="J194" s="825">
        <f t="shared" si="58"/>
        <v>0</v>
      </c>
    </row>
    <row r="195" spans="1:10" ht="12.75">
      <c r="A195" s="894">
        <f t="shared" si="59"/>
        <v>130</v>
      </c>
      <c r="B195" s="843" t="str">
        <f t="shared" si="60"/>
        <v>Less: Amort of Gain on Reacquired Debt (117.66.c)</v>
      </c>
      <c r="C195" s="483">
        <f>C21</f>
        <v>0</v>
      </c>
      <c r="D195" s="483"/>
      <c r="E195" s="483">
        <f aca="true" t="shared" si="63" ref="E195:I196">E21</f>
        <v>0</v>
      </c>
      <c r="F195" s="483">
        <f t="shared" si="63"/>
        <v>0</v>
      </c>
      <c r="G195" s="483">
        <f t="shared" si="63"/>
        <v>0</v>
      </c>
      <c r="H195" s="483">
        <f t="shared" si="63"/>
        <v>0</v>
      </c>
      <c r="I195" s="483">
        <f t="shared" si="63"/>
        <v>0</v>
      </c>
      <c r="J195" s="825">
        <f t="shared" si="58"/>
        <v>0</v>
      </c>
    </row>
    <row r="196" spans="1:10" ht="12.75">
      <c r="A196" s="894">
        <f t="shared" si="59"/>
        <v>131</v>
      </c>
      <c r="B196" s="902" t="str">
        <f t="shared" si="60"/>
        <v>Less: Hedge Interest on pp 256-257(i)</v>
      </c>
      <c r="C196" s="900">
        <f>C22</f>
        <v>0</v>
      </c>
      <c r="D196" s="900"/>
      <c r="E196" s="900">
        <f t="shared" si="63"/>
        <v>0</v>
      </c>
      <c r="F196" s="900">
        <f t="shared" si="63"/>
        <v>0</v>
      </c>
      <c r="G196" s="900">
        <f t="shared" si="63"/>
        <v>0</v>
      </c>
      <c r="H196" s="900">
        <f t="shared" si="63"/>
        <v>0</v>
      </c>
      <c r="I196" s="900">
        <f t="shared" si="63"/>
        <v>0</v>
      </c>
      <c r="J196" s="882">
        <f t="shared" si="58"/>
        <v>0</v>
      </c>
    </row>
    <row r="197" spans="1:10" ht="12.75">
      <c r="A197" s="894">
        <f t="shared" si="59"/>
        <v>132</v>
      </c>
      <c r="B197" s="903" t="str">
        <f>""&amp;TCOS!O1&amp;" LTD Interest Expense"</f>
        <v>  LTD Interest Expense</v>
      </c>
      <c r="C197" s="904">
        <f aca="true" t="shared" si="64" ref="C197:J197">C191+C192+C193-C194-C195-C196</f>
        <v>0</v>
      </c>
      <c r="D197" s="904"/>
      <c r="E197" s="904">
        <f t="shared" si="64"/>
        <v>0</v>
      </c>
      <c r="F197" s="904">
        <f t="shared" si="64"/>
        <v>0</v>
      </c>
      <c r="G197" s="904">
        <f t="shared" si="64"/>
        <v>0</v>
      </c>
      <c r="H197" s="904">
        <f t="shared" si="64"/>
        <v>0</v>
      </c>
      <c r="I197" s="904">
        <f t="shared" si="64"/>
        <v>0</v>
      </c>
      <c r="J197" s="904">
        <f t="shared" si="64"/>
        <v>0</v>
      </c>
    </row>
    <row r="198" spans="1:10" ht="12.75">
      <c r="A198" s="894"/>
      <c r="B198" s="894"/>
      <c r="C198" s="894"/>
      <c r="D198" s="894"/>
      <c r="E198" s="894"/>
      <c r="F198" s="894"/>
      <c r="G198" s="894"/>
      <c r="H198" s="894"/>
      <c r="I198" s="894"/>
      <c r="J198" s="894"/>
    </row>
    <row r="199" spans="1:10" ht="15">
      <c r="A199" s="838" t="str">
        <f>""&amp;TCOS!O1&amp;" Cost of Preferred Stock and Preferred Dividends"</f>
        <v>  Cost of Preferred Stock and Preferred Dividends</v>
      </c>
      <c r="B199" s="905"/>
      <c r="C199" s="905"/>
      <c r="D199" s="905"/>
      <c r="E199" s="905"/>
      <c r="F199" s="894"/>
      <c r="G199" s="894"/>
      <c r="H199" s="894"/>
      <c r="I199" s="894"/>
      <c r="J199" s="894"/>
    </row>
    <row r="200" spans="1:10" ht="12.75">
      <c r="A200" s="894">
        <f>A197+1</f>
        <v>133</v>
      </c>
      <c r="B200" s="462" t="str">
        <f>"Average Balance of Preferred Stock (Ln "&amp;A50&amp;" + Ln "&amp;A137&amp;") / 2"</f>
        <v>Average Balance of Preferred Stock (Ln 35 + Ln 94) / 2</v>
      </c>
      <c r="C200" s="904">
        <f>AVERAGE(C50,C137)</f>
        <v>0</v>
      </c>
      <c r="D200" s="904"/>
      <c r="E200" s="904">
        <f aca="true" t="shared" si="65" ref="E200:J200">AVERAGE(E50,E137)</f>
        <v>0</v>
      </c>
      <c r="F200" s="904">
        <f t="shared" si="65"/>
        <v>0</v>
      </c>
      <c r="G200" s="904">
        <f t="shared" si="65"/>
        <v>0</v>
      </c>
      <c r="H200" s="904">
        <f t="shared" si="65"/>
        <v>0</v>
      </c>
      <c r="I200" s="904">
        <f t="shared" si="65"/>
        <v>0</v>
      </c>
      <c r="J200" s="904">
        <f t="shared" si="65"/>
        <v>0</v>
      </c>
    </row>
    <row r="201" spans="1:10" ht="12.75">
      <c r="A201" s="894">
        <f>A200+1</f>
        <v>134</v>
      </c>
      <c r="B201" s="462" t="str">
        <f>""&amp;TCOS!O1&amp;" Preferred Dividends (Ln "&amp;A51&amp;")"</f>
        <v>  Preferred Dividends (Ln 36)</v>
      </c>
      <c r="C201" s="904">
        <f>C51</f>
        <v>0</v>
      </c>
      <c r="D201" s="904"/>
      <c r="E201" s="904">
        <f aca="true" t="shared" si="66" ref="E201:J201">E51</f>
        <v>0</v>
      </c>
      <c r="F201" s="904">
        <f t="shared" si="66"/>
        <v>0</v>
      </c>
      <c r="G201" s="904">
        <f t="shared" si="66"/>
        <v>0</v>
      </c>
      <c r="H201" s="904">
        <f t="shared" si="66"/>
        <v>0</v>
      </c>
      <c r="I201" s="904">
        <f t="shared" si="66"/>
        <v>0</v>
      </c>
      <c r="J201" s="904">
        <f t="shared" si="66"/>
        <v>0</v>
      </c>
    </row>
    <row r="202" ht="12.75">
      <c r="B202" s="901"/>
    </row>
    <row r="203" ht="15">
      <c r="A203" s="838" t="s">
        <v>544</v>
      </c>
    </row>
    <row r="204" spans="1:10" ht="12.75">
      <c r="A204" s="880">
        <f>A201+1</f>
        <v>135</v>
      </c>
      <c r="B204" s="658" t="str">
        <f>"Average Proprietary Capital (Ln "&amp;A54&amp;" + Ln "&amp;A141&amp;") / 2"</f>
        <v>Average Proprietary Capital (Ln 37 + Ln 96) / 2</v>
      </c>
      <c r="C204" s="483" t="e">
        <f aca="true" t="shared" si="67" ref="C204:I204">AVERAGE(C54,C141)</f>
        <v>#DIV/0!</v>
      </c>
      <c r="D204" s="483"/>
      <c r="E204" s="483" t="e">
        <f t="shared" si="67"/>
        <v>#DIV/0!</v>
      </c>
      <c r="F204" s="483" t="e">
        <f t="shared" si="67"/>
        <v>#DIV/0!</v>
      </c>
      <c r="G204" s="483" t="e">
        <f t="shared" si="67"/>
        <v>#DIV/0!</v>
      </c>
      <c r="H204" s="483" t="e">
        <f t="shared" si="67"/>
        <v>#DIV/0!</v>
      </c>
      <c r="I204" s="483" t="e">
        <f t="shared" si="67"/>
        <v>#DIV/0!</v>
      </c>
      <c r="J204" s="887" t="e">
        <f>SUM(C204:I204)</f>
        <v>#DIV/0!</v>
      </c>
    </row>
    <row r="205" spans="1:10" ht="12.75">
      <c r="A205" s="880">
        <f>A204+1</f>
        <v>136</v>
      </c>
      <c r="B205" s="658" t="str">
        <f>"Less: Average Preferred Stock (Ln "&amp;A200&amp;" Above)"</f>
        <v>Less: Average Preferred Stock (Ln 133 Above)</v>
      </c>
      <c r="C205" s="483">
        <f aca="true" t="shared" si="68" ref="C205:H205">C200</f>
        <v>0</v>
      </c>
      <c r="D205" s="483"/>
      <c r="E205" s="483">
        <f t="shared" si="68"/>
        <v>0</v>
      </c>
      <c r="F205" s="483">
        <f t="shared" si="68"/>
        <v>0</v>
      </c>
      <c r="G205" s="483">
        <f t="shared" si="68"/>
        <v>0</v>
      </c>
      <c r="H205" s="483">
        <f t="shared" si="68"/>
        <v>0</v>
      </c>
      <c r="I205" s="483">
        <f>I200</f>
        <v>0</v>
      </c>
      <c r="J205" s="887">
        <f>SUM(C205:I205)</f>
        <v>0</v>
      </c>
    </row>
    <row r="206" spans="1:10" ht="12.75">
      <c r="A206" s="880">
        <f>A205+1</f>
        <v>137</v>
      </c>
      <c r="B206" s="658" t="str">
        <f>"Less: Average Account 216.1 (Ln "&amp;A56&amp;" + Ln "&amp;A143&amp;") / 2"</f>
        <v>Less: Average Account 216.1 (Ln 39 + Ln 98) / 2</v>
      </c>
      <c r="C206" s="483" t="e">
        <f aca="true" t="shared" si="69" ref="C206:I207">AVERAGE(C56,C143)</f>
        <v>#DIV/0!</v>
      </c>
      <c r="D206" s="483"/>
      <c r="E206" s="483" t="e">
        <f t="shared" si="69"/>
        <v>#DIV/0!</v>
      </c>
      <c r="F206" s="483" t="e">
        <f t="shared" si="69"/>
        <v>#DIV/0!</v>
      </c>
      <c r="G206" s="483" t="e">
        <f t="shared" si="69"/>
        <v>#DIV/0!</v>
      </c>
      <c r="H206" s="483" t="e">
        <f t="shared" si="69"/>
        <v>#DIV/0!</v>
      </c>
      <c r="I206" s="483" t="e">
        <f t="shared" si="69"/>
        <v>#DIV/0!</v>
      </c>
      <c r="J206" s="887" t="e">
        <f>SUM(C206:I206)</f>
        <v>#DIV/0!</v>
      </c>
    </row>
    <row r="207" spans="1:10" ht="12.75">
      <c r="A207" s="880">
        <f>A206+1</f>
        <v>138</v>
      </c>
      <c r="B207" s="658" t="str">
        <f>"Less: Average Account 219.1 (Ln "&amp;A57&amp;" + Ln "&amp;A144&amp;") / 2"</f>
        <v>Less: Average Account 219.1 (Ln 40 + Ln 99) / 2</v>
      </c>
      <c r="C207" s="900" t="e">
        <f t="shared" si="69"/>
        <v>#DIV/0!</v>
      </c>
      <c r="D207" s="900"/>
      <c r="E207" s="900" t="e">
        <f t="shared" si="69"/>
        <v>#DIV/0!</v>
      </c>
      <c r="F207" s="900" t="e">
        <f t="shared" si="69"/>
        <v>#DIV/0!</v>
      </c>
      <c r="G207" s="900" t="e">
        <f t="shared" si="69"/>
        <v>#DIV/0!</v>
      </c>
      <c r="H207" s="900" t="e">
        <f t="shared" si="69"/>
        <v>#DIV/0!</v>
      </c>
      <c r="I207" s="900" t="e">
        <f t="shared" si="69"/>
        <v>#DIV/0!</v>
      </c>
      <c r="J207" s="892" t="e">
        <f>SUM(C207:I207)</f>
        <v>#DIV/0!</v>
      </c>
    </row>
    <row r="208" spans="1:10" ht="12.75">
      <c r="A208" s="880">
        <f>A207+1</f>
        <v>139</v>
      </c>
      <c r="B208" s="840" t="s">
        <v>340</v>
      </c>
      <c r="C208" s="825" t="e">
        <f aca="true" t="shared" si="70" ref="C208:J208">C204-C205-C206-C207</f>
        <v>#DIV/0!</v>
      </c>
      <c r="D208" s="825"/>
      <c r="E208" s="825" t="e">
        <f t="shared" si="70"/>
        <v>#DIV/0!</v>
      </c>
      <c r="F208" s="825" t="e">
        <f t="shared" si="70"/>
        <v>#DIV/0!</v>
      </c>
      <c r="G208" s="825" t="e">
        <f t="shared" si="70"/>
        <v>#DIV/0!</v>
      </c>
      <c r="H208" s="825" t="e">
        <f t="shared" si="70"/>
        <v>#DIV/0!</v>
      </c>
      <c r="I208" s="825" t="e">
        <f t="shared" si="70"/>
        <v>#DIV/0!</v>
      </c>
      <c r="J208" s="825" t="e">
        <f t="shared" si="70"/>
        <v>#DIV/0!</v>
      </c>
    </row>
    <row r="210" ht="15">
      <c r="A210" s="838" t="s">
        <v>536</v>
      </c>
    </row>
    <row r="211" spans="1:10" ht="12.75">
      <c r="A211" s="880">
        <f>A208+1</f>
        <v>140</v>
      </c>
      <c r="B211" s="462" t="str">
        <f>"Average Balance of Long Term Debt (Ln "&amp;A186&amp;" Above)"</f>
        <v>Average Balance of Long Term Debt (Ln 124 Above)</v>
      </c>
      <c r="C211" s="887" t="e">
        <f aca="true" t="shared" si="71" ref="C211:J211">C186</f>
        <v>#DIV/0!</v>
      </c>
      <c r="D211" s="887"/>
      <c r="E211" s="887" t="e">
        <f t="shared" si="71"/>
        <v>#DIV/0!</v>
      </c>
      <c r="F211" s="887" t="e">
        <f t="shared" si="71"/>
        <v>#DIV/0!</v>
      </c>
      <c r="G211" s="887" t="e">
        <f t="shared" si="71"/>
        <v>#DIV/0!</v>
      </c>
      <c r="H211" s="887" t="e">
        <f t="shared" si="71"/>
        <v>#DIV/0!</v>
      </c>
      <c r="I211" s="887" t="e">
        <f t="shared" si="71"/>
        <v>#DIV/0!</v>
      </c>
      <c r="J211" s="887" t="e">
        <f t="shared" si="71"/>
        <v>#DIV/0!</v>
      </c>
    </row>
    <row r="212" spans="1:10" ht="12.75">
      <c r="A212" s="880">
        <f>A211+1</f>
        <v>141</v>
      </c>
      <c r="B212" s="462" t="str">
        <f>"Average Balance of Preferred Stock (Ln "&amp;A200&amp;" Above)"</f>
        <v>Average Balance of Preferred Stock (Ln 133 Above)</v>
      </c>
      <c r="C212" s="887">
        <f aca="true" t="shared" si="72" ref="C212:J212">C200</f>
        <v>0</v>
      </c>
      <c r="D212" s="887"/>
      <c r="E212" s="887">
        <f t="shared" si="72"/>
        <v>0</v>
      </c>
      <c r="F212" s="887">
        <f t="shared" si="72"/>
        <v>0</v>
      </c>
      <c r="G212" s="887">
        <f t="shared" si="72"/>
        <v>0</v>
      </c>
      <c r="H212" s="887">
        <f t="shared" si="72"/>
        <v>0</v>
      </c>
      <c r="I212" s="887">
        <f t="shared" si="72"/>
        <v>0</v>
      </c>
      <c r="J212" s="887">
        <f t="shared" si="72"/>
        <v>0</v>
      </c>
    </row>
    <row r="213" spans="1:10" ht="12.75">
      <c r="A213" s="880">
        <f>A212+1</f>
        <v>142</v>
      </c>
      <c r="B213" s="462" t="str">
        <f>"Average Balance of Common Equity (Ln "&amp;A208&amp;" Above)"</f>
        <v>Average Balance of Common Equity (Ln 139 Above)</v>
      </c>
      <c r="C213" s="892" t="e">
        <f aca="true" t="shared" si="73" ref="C213:J213">C208</f>
        <v>#DIV/0!</v>
      </c>
      <c r="D213" s="892"/>
      <c r="E213" s="892" t="e">
        <f t="shared" si="73"/>
        <v>#DIV/0!</v>
      </c>
      <c r="F213" s="892" t="e">
        <f t="shared" si="73"/>
        <v>#DIV/0!</v>
      </c>
      <c r="G213" s="892" t="e">
        <f t="shared" si="73"/>
        <v>#DIV/0!</v>
      </c>
      <c r="H213" s="892" t="e">
        <f t="shared" si="73"/>
        <v>#DIV/0!</v>
      </c>
      <c r="I213" s="892" t="e">
        <f t="shared" si="73"/>
        <v>#DIV/0!</v>
      </c>
      <c r="J213" s="892" t="e">
        <f t="shared" si="73"/>
        <v>#DIV/0!</v>
      </c>
    </row>
    <row r="214" spans="1:12" ht="12.75">
      <c r="A214" s="880">
        <f>A213+1</f>
        <v>143</v>
      </c>
      <c r="B214" s="880" t="s">
        <v>545</v>
      </c>
      <c r="C214" s="887" t="e">
        <f aca="true" t="shared" si="74" ref="C214:J214">SUM(C211:C213)</f>
        <v>#DIV/0!</v>
      </c>
      <c r="D214" s="887"/>
      <c r="E214" s="887" t="e">
        <f t="shared" si="74"/>
        <v>#DIV/0!</v>
      </c>
      <c r="F214" s="887" t="e">
        <f t="shared" si="74"/>
        <v>#DIV/0!</v>
      </c>
      <c r="G214" s="887" t="e">
        <f t="shared" si="74"/>
        <v>#DIV/0!</v>
      </c>
      <c r="H214" s="887" t="e">
        <f t="shared" si="74"/>
        <v>#DIV/0!</v>
      </c>
      <c r="I214" s="887" t="e">
        <f t="shared" si="74"/>
        <v>#DIV/0!</v>
      </c>
      <c r="J214" s="887" t="e">
        <f t="shared" si="74"/>
        <v>#DIV/0!</v>
      </c>
      <c r="L214" s="906"/>
    </row>
    <row r="216" spans="1:10" ht="12.75">
      <c r="A216" s="880">
        <f>A214+1</f>
        <v>144</v>
      </c>
      <c r="B216" s="462" t="str">
        <f>"Average Balance of LTD Capital Shares (Ln "&amp;A211&amp;" / Ln "&amp;A214&amp;")"</f>
        <v>Average Balance of LTD Capital Shares (Ln 140 / Ln 143)</v>
      </c>
      <c r="C216" s="893" t="e">
        <f aca="true" t="shared" si="75" ref="C216:I216">C211/C214</f>
        <v>#DIV/0!</v>
      </c>
      <c r="D216" s="893"/>
      <c r="E216" s="893" t="e">
        <f t="shared" si="75"/>
        <v>#DIV/0!</v>
      </c>
      <c r="F216" s="893" t="e">
        <f t="shared" si="75"/>
        <v>#DIV/0!</v>
      </c>
      <c r="G216" s="893" t="e">
        <f t="shared" si="75"/>
        <v>#DIV/0!</v>
      </c>
      <c r="H216" s="893" t="e">
        <f t="shared" si="75"/>
        <v>#DIV/0!</v>
      </c>
      <c r="I216" s="893" t="e">
        <f t="shared" si="75"/>
        <v>#DIV/0!</v>
      </c>
      <c r="J216" s="893" t="e">
        <f>J211/J214</f>
        <v>#DIV/0!</v>
      </c>
    </row>
    <row r="217" spans="1:10" ht="12.75">
      <c r="A217" s="880">
        <f>A216+1</f>
        <v>145</v>
      </c>
      <c r="B217" s="462" t="str">
        <f>"Average Balance of Preferred Stock Capital Shares (Ln "&amp;A212&amp;" / Ln "&amp;A214&amp;")"</f>
        <v>Average Balance of Preferred Stock Capital Shares (Ln 141 / Ln 143)</v>
      </c>
      <c r="C217" s="893" t="e">
        <f aca="true" t="shared" si="76" ref="C217:I217">C212/C214</f>
        <v>#DIV/0!</v>
      </c>
      <c r="D217" s="893"/>
      <c r="E217" s="893" t="e">
        <f t="shared" si="76"/>
        <v>#DIV/0!</v>
      </c>
      <c r="F217" s="893" t="e">
        <f t="shared" si="76"/>
        <v>#DIV/0!</v>
      </c>
      <c r="G217" s="893" t="e">
        <f t="shared" si="76"/>
        <v>#DIV/0!</v>
      </c>
      <c r="H217" s="893" t="e">
        <f t="shared" si="76"/>
        <v>#DIV/0!</v>
      </c>
      <c r="I217" s="893" t="e">
        <f t="shared" si="76"/>
        <v>#DIV/0!</v>
      </c>
      <c r="J217" s="893" t="e">
        <f>J212/J214</f>
        <v>#DIV/0!</v>
      </c>
    </row>
    <row r="218" spans="1:10" ht="12.75">
      <c r="A218" s="894">
        <f>A217+1</f>
        <v>146</v>
      </c>
      <c r="B218" s="462" t="str">
        <f>"Average Balance of Common Equity Capital Shares (Ln "&amp;A213&amp;" / Ln "&amp;A214&amp;")"</f>
        <v>Average Balance of Common Equity Capital Shares (Ln 142 / Ln 143)</v>
      </c>
      <c r="C218" s="895" t="e">
        <f aca="true" t="shared" si="77" ref="C218:I218">C213/C214</f>
        <v>#DIV/0!</v>
      </c>
      <c r="D218" s="895"/>
      <c r="E218" s="895" t="e">
        <f t="shared" si="77"/>
        <v>#DIV/0!</v>
      </c>
      <c r="F218" s="895" t="e">
        <f t="shared" si="77"/>
        <v>#DIV/0!</v>
      </c>
      <c r="G218" s="895" t="e">
        <f t="shared" si="77"/>
        <v>#DIV/0!</v>
      </c>
      <c r="H218" s="895" t="e">
        <f t="shared" si="77"/>
        <v>#DIV/0!</v>
      </c>
      <c r="I218" s="895" t="e">
        <f t="shared" si="77"/>
        <v>#DIV/0!</v>
      </c>
      <c r="J218" s="895" t="e">
        <f>J213/J214</f>
        <v>#DIV/0!</v>
      </c>
    </row>
    <row r="219" spans="1:10" ht="12.75">
      <c r="A219" s="894"/>
      <c r="B219" s="462"/>
      <c r="C219" s="895"/>
      <c r="D219" s="895"/>
      <c r="E219" s="895"/>
      <c r="F219" s="895"/>
      <c r="G219" s="895"/>
      <c r="H219" s="895"/>
      <c r="I219" s="895"/>
      <c r="J219" s="895"/>
    </row>
    <row r="220" spans="1:10" ht="12.75">
      <c r="A220" s="894">
        <f>A218+1</f>
        <v>147</v>
      </c>
      <c r="B220" s="839" t="s">
        <v>568</v>
      </c>
      <c r="C220" s="895"/>
      <c r="D220" s="895"/>
      <c r="E220" s="895"/>
      <c r="F220" s="895"/>
      <c r="G220" s="895"/>
      <c r="H220" s="895"/>
      <c r="I220" s="895"/>
      <c r="J220" s="895"/>
    </row>
    <row r="221" spans="1:10" ht="12.75">
      <c r="A221" s="894"/>
      <c r="B221" s="462"/>
      <c r="C221" s="895"/>
      <c r="D221" s="895"/>
      <c r="E221" s="895"/>
      <c r="F221" s="895"/>
      <c r="G221" s="895"/>
      <c r="H221" s="895"/>
      <c r="I221" s="895"/>
      <c r="J221" s="895"/>
    </row>
    <row r="222" spans="1:10" ht="12.75">
      <c r="A222" s="894">
        <f>A220+1</f>
        <v>148</v>
      </c>
      <c r="B222" s="839" t="s">
        <v>568</v>
      </c>
      <c r="C222" s="895"/>
      <c r="D222" s="895"/>
      <c r="E222" s="895"/>
      <c r="F222" s="895"/>
      <c r="G222" s="895"/>
      <c r="H222" s="895"/>
      <c r="I222" s="895"/>
      <c r="J222" s="895"/>
    </row>
    <row r="223" spans="1:10" ht="12.75">
      <c r="A223" s="894">
        <f>A222+1</f>
        <v>149</v>
      </c>
      <c r="B223" s="839" t="s">
        <v>568</v>
      </c>
      <c r="C223" s="895"/>
      <c r="D223" s="895"/>
      <c r="E223" s="895"/>
      <c r="F223" s="895"/>
      <c r="G223" s="895"/>
      <c r="H223" s="895"/>
      <c r="I223" s="895"/>
      <c r="J223" s="895"/>
    </row>
    <row r="224" spans="1:10" ht="12.75">
      <c r="A224" s="894">
        <f>A223+1</f>
        <v>150</v>
      </c>
      <c r="B224" s="839" t="s">
        <v>568</v>
      </c>
      <c r="C224" s="895"/>
      <c r="D224" s="895"/>
      <c r="E224" s="895"/>
      <c r="F224" s="895"/>
      <c r="G224" s="895"/>
      <c r="H224" s="895"/>
      <c r="I224" s="895"/>
      <c r="J224" s="895"/>
    </row>
    <row r="225" spans="1:10" ht="12.75">
      <c r="A225" s="894"/>
      <c r="B225" s="462"/>
      <c r="C225" s="895"/>
      <c r="D225" s="895"/>
      <c r="E225" s="895"/>
      <c r="F225" s="895"/>
      <c r="G225" s="895"/>
      <c r="H225" s="895"/>
      <c r="I225" s="895"/>
      <c r="J225" s="895"/>
    </row>
    <row r="226" spans="1:10" ht="15">
      <c r="A226" s="838" t="s">
        <v>538</v>
      </c>
      <c r="B226" s="894"/>
      <c r="C226" s="894"/>
      <c r="D226" s="894"/>
      <c r="E226" s="894"/>
      <c r="F226" s="894"/>
      <c r="G226" s="894"/>
      <c r="H226" s="894"/>
      <c r="I226" s="894"/>
      <c r="J226" s="894"/>
    </row>
    <row r="227" spans="1:10" ht="12.75">
      <c r="A227" s="894">
        <f>A224+1</f>
        <v>151</v>
      </c>
      <c r="B227" s="462" t="str">
        <f>"LTD Capital Cost Rate (Ln "&amp;A197&amp;" / Ln "&amp;A186&amp;")"</f>
        <v>LTD Capital Cost Rate (Ln 132 / Ln 124)</v>
      </c>
      <c r="C227" s="895" t="e">
        <f aca="true" t="shared" si="78" ref="C227:J227">C197/C186</f>
        <v>#DIV/0!</v>
      </c>
      <c r="D227" s="895"/>
      <c r="E227" s="895" t="e">
        <f t="shared" si="78"/>
        <v>#DIV/0!</v>
      </c>
      <c r="F227" s="895" t="e">
        <f t="shared" si="78"/>
        <v>#DIV/0!</v>
      </c>
      <c r="G227" s="895" t="e">
        <f t="shared" si="78"/>
        <v>#DIV/0!</v>
      </c>
      <c r="H227" s="895" t="e">
        <f t="shared" si="78"/>
        <v>#DIV/0!</v>
      </c>
      <c r="I227" s="895" t="e">
        <f t="shared" si="78"/>
        <v>#DIV/0!</v>
      </c>
      <c r="J227" s="895" t="e">
        <f t="shared" si="78"/>
        <v>#DIV/0!</v>
      </c>
    </row>
    <row r="228" spans="1:10" ht="12.75">
      <c r="A228" s="894">
        <f>A227+1</f>
        <v>152</v>
      </c>
      <c r="B228" s="462" t="str">
        <f>"Preferred Stock Capital Cost Rate (Ln "&amp;A201&amp;" / Ln "&amp;A200&amp;")"</f>
        <v>Preferred Stock Capital Cost Rate (Ln 134 / Ln 133)</v>
      </c>
      <c r="C228" s="895">
        <f aca="true" t="shared" si="79" ref="C228:J228">IF(C200=0,0,C201/C200)</f>
        <v>0</v>
      </c>
      <c r="D228" s="895"/>
      <c r="E228" s="895">
        <f t="shared" si="79"/>
        <v>0</v>
      </c>
      <c r="F228" s="895">
        <f t="shared" si="79"/>
        <v>0</v>
      </c>
      <c r="G228" s="895">
        <f t="shared" si="79"/>
        <v>0</v>
      </c>
      <c r="H228" s="895">
        <f t="shared" si="79"/>
        <v>0</v>
      </c>
      <c r="I228" s="895">
        <f t="shared" si="79"/>
        <v>0</v>
      </c>
      <c r="J228" s="895">
        <f t="shared" si="79"/>
        <v>0</v>
      </c>
    </row>
    <row r="229" spans="1:10" ht="12.75">
      <c r="A229" s="894">
        <f>A228+1</f>
        <v>153</v>
      </c>
      <c r="B229" s="462" t="s">
        <v>539</v>
      </c>
      <c r="C229" s="895">
        <v>0.1149</v>
      </c>
      <c r="D229" s="895"/>
      <c r="E229" s="895">
        <v>0.1149</v>
      </c>
      <c r="F229" s="895">
        <v>0.1149</v>
      </c>
      <c r="G229" s="895">
        <v>0.1149</v>
      </c>
      <c r="H229" s="895">
        <v>0.1149</v>
      </c>
      <c r="I229" s="895">
        <v>0.1149</v>
      </c>
      <c r="J229" s="895">
        <v>0.1149</v>
      </c>
    </row>
    <row r="230" spans="1:10" ht="12.75">
      <c r="A230" s="894"/>
      <c r="B230" s="894"/>
      <c r="C230" s="894"/>
      <c r="D230" s="894"/>
      <c r="E230" s="894"/>
      <c r="F230" s="894"/>
      <c r="G230" s="894"/>
      <c r="H230" s="894"/>
      <c r="I230" s="894"/>
      <c r="J230" s="894"/>
    </row>
    <row r="231" spans="1:10" ht="15">
      <c r="A231" s="838" t="s">
        <v>540</v>
      </c>
      <c r="B231" s="894"/>
      <c r="C231" s="894"/>
      <c r="D231" s="894"/>
      <c r="E231" s="894"/>
      <c r="F231" s="894"/>
      <c r="G231" s="894"/>
      <c r="H231" s="894"/>
      <c r="I231" s="894"/>
      <c r="J231" s="894"/>
    </row>
    <row r="232" spans="1:10" ht="12.75">
      <c r="A232" s="894">
        <f>A229+1</f>
        <v>154</v>
      </c>
      <c r="B232" s="462" t="str">
        <f>"LTD Weighted Capital Cost Rate (Ln "&amp;A216&amp;" * Ln "&amp;A227&amp;")"</f>
        <v>LTD Weighted Capital Cost Rate (Ln 144 * Ln 151)</v>
      </c>
      <c r="C232" s="895" t="e">
        <f>C216*C227</f>
        <v>#DIV/0!</v>
      </c>
      <c r="D232" s="895"/>
      <c r="E232" s="895" t="e">
        <f aca="true" t="shared" si="80" ref="E232:J232">E216*E227</f>
        <v>#DIV/0!</v>
      </c>
      <c r="F232" s="895" t="e">
        <f t="shared" si="80"/>
        <v>#DIV/0!</v>
      </c>
      <c r="G232" s="895" t="e">
        <f t="shared" si="80"/>
        <v>#DIV/0!</v>
      </c>
      <c r="H232" s="895" t="e">
        <f t="shared" si="80"/>
        <v>#DIV/0!</v>
      </c>
      <c r="I232" s="895" t="e">
        <f t="shared" si="80"/>
        <v>#DIV/0!</v>
      </c>
      <c r="J232" s="895" t="e">
        <f t="shared" si="80"/>
        <v>#DIV/0!</v>
      </c>
    </row>
    <row r="233" spans="1:10" ht="12.75">
      <c r="A233" s="894">
        <f>A232+1</f>
        <v>155</v>
      </c>
      <c r="B233" s="462" t="str">
        <f>"Preferred Stock Capital Cost Rate (Ln "&amp;A217&amp;" * Ln "&amp;A228&amp;")"</f>
        <v>Preferred Stock Capital Cost Rate (Ln 145 * Ln 152)</v>
      </c>
      <c r="C233" s="895" t="e">
        <f>C217*C228</f>
        <v>#DIV/0!</v>
      </c>
      <c r="D233" s="895"/>
      <c r="E233" s="895" t="e">
        <f aca="true" t="shared" si="81" ref="E233:J233">E217*E228</f>
        <v>#DIV/0!</v>
      </c>
      <c r="F233" s="895" t="e">
        <f t="shared" si="81"/>
        <v>#DIV/0!</v>
      </c>
      <c r="G233" s="895" t="e">
        <f t="shared" si="81"/>
        <v>#DIV/0!</v>
      </c>
      <c r="H233" s="895" t="e">
        <f t="shared" si="81"/>
        <v>#DIV/0!</v>
      </c>
      <c r="I233" s="895" t="e">
        <f t="shared" si="81"/>
        <v>#DIV/0!</v>
      </c>
      <c r="J233" s="895" t="e">
        <f t="shared" si="81"/>
        <v>#DIV/0!</v>
      </c>
    </row>
    <row r="234" spans="1:10" ht="12.75">
      <c r="A234" s="894">
        <f>A233+1</f>
        <v>156</v>
      </c>
      <c r="B234" s="462" t="str">
        <f>"Common Equity Capital Cost Rate (Ln "&amp;A218&amp;" * Ln "&amp;A229&amp;")"</f>
        <v>Common Equity Capital Cost Rate (Ln 146 * Ln 153)</v>
      </c>
      <c r="C234" s="907" t="e">
        <f>C218*C229</f>
        <v>#DIV/0!</v>
      </c>
      <c r="D234" s="907"/>
      <c r="E234" s="907" t="e">
        <f aca="true" t="shared" si="82" ref="E234:J234">E218*E229</f>
        <v>#DIV/0!</v>
      </c>
      <c r="F234" s="907" t="e">
        <f t="shared" si="82"/>
        <v>#DIV/0!</v>
      </c>
      <c r="G234" s="907" t="e">
        <f t="shared" si="82"/>
        <v>#DIV/0!</v>
      </c>
      <c r="H234" s="907" t="e">
        <f t="shared" si="82"/>
        <v>#DIV/0!</v>
      </c>
      <c r="I234" s="907" t="e">
        <f t="shared" si="82"/>
        <v>#DIV/0!</v>
      </c>
      <c r="J234" s="907" t="e">
        <f t="shared" si="82"/>
        <v>#DIV/0!</v>
      </c>
    </row>
    <row r="235" spans="1:10" ht="12.75">
      <c r="A235" s="894">
        <f>A234+1</f>
        <v>157</v>
      </c>
      <c r="B235" s="903" t="s">
        <v>70</v>
      </c>
      <c r="C235" s="908" t="e">
        <f aca="true" t="shared" si="83" ref="C235:J235">SUM(C232:C234)</f>
        <v>#DIV/0!</v>
      </c>
      <c r="D235" s="908"/>
      <c r="E235" s="908" t="e">
        <f t="shared" si="83"/>
        <v>#DIV/0!</v>
      </c>
      <c r="F235" s="908" t="e">
        <f t="shared" si="83"/>
        <v>#DIV/0!</v>
      </c>
      <c r="G235" s="908" t="e">
        <f t="shared" si="83"/>
        <v>#DIV/0!</v>
      </c>
      <c r="H235" s="908" t="e">
        <f t="shared" si="83"/>
        <v>#DIV/0!</v>
      </c>
      <c r="I235" s="908" t="e">
        <f t="shared" si="83"/>
        <v>#DIV/0!</v>
      </c>
      <c r="J235" s="908" t="e">
        <f t="shared" si="83"/>
        <v>#DIV/0!</v>
      </c>
    </row>
    <row r="236" spans="1:10" ht="12.75">
      <c r="A236" s="894"/>
      <c r="B236" s="901"/>
      <c r="C236" s="894"/>
      <c r="D236" s="894"/>
      <c r="E236" s="894"/>
      <c r="F236" s="894"/>
      <c r="G236" s="894"/>
      <c r="H236" s="894"/>
      <c r="I236" s="894"/>
      <c r="J236" s="894"/>
    </row>
    <row r="237" spans="1:10" ht="12.75">
      <c r="A237" s="894"/>
      <c r="B237" s="894"/>
      <c r="C237" s="894"/>
      <c r="D237" s="894"/>
      <c r="E237" s="894"/>
      <c r="F237" s="894"/>
      <c r="G237" s="894"/>
      <c r="H237" s="894"/>
      <c r="I237" s="894"/>
      <c r="J237" s="894"/>
    </row>
  </sheetData>
  <sheetProtection/>
  <mergeCells count="12">
    <mergeCell ref="B14:J14"/>
    <mergeCell ref="A1:J1"/>
    <mergeCell ref="A2:J2"/>
    <mergeCell ref="A3:J3"/>
    <mergeCell ref="A88:J88"/>
    <mergeCell ref="A89:J89"/>
    <mergeCell ref="A90:J90"/>
    <mergeCell ref="B101:J101"/>
    <mergeCell ref="A175:J175"/>
    <mergeCell ref="A176:J176"/>
    <mergeCell ref="A177:J177"/>
    <mergeCell ref="B188:J188"/>
  </mergeCells>
  <printOptions/>
  <pageMargins left="0.5" right="0.5" top="1" bottom="1" header="0.5" footer="0.5"/>
  <pageSetup fitToHeight="0" fitToWidth="1" horizontalDpi="600" verticalDpi="600" orientation="portrait" scale="50" r:id="rId1"/>
  <headerFooter alignWithMargins="0">
    <oddHeader>&amp;RFormula Rate 
&amp;A
Page &amp;P of &amp;N</oddHeader>
  </headerFooter>
  <rowBreaks count="2" manualBreakCount="2">
    <brk id="87" max="9" man="1"/>
    <brk id="174" max="9" man="1"/>
  </rowBreaks>
  <ignoredErrors>
    <ignoredError sqref="J58" unlockedFormula="1"/>
  </ignoredErrors>
</worksheet>
</file>

<file path=xl/worksheets/sheet22.xml><?xml version="1.0" encoding="utf-8"?>
<worksheet xmlns="http://schemas.openxmlformats.org/spreadsheetml/2006/main" xmlns:r="http://schemas.openxmlformats.org/officeDocument/2006/relationships">
  <dimension ref="B1:L57"/>
  <sheetViews>
    <sheetView view="pageBreakPreview" zoomScale="60" zoomScalePageLayoutView="0" workbookViewId="0" topLeftCell="A1">
      <selection activeCell="A2" sqref="A1:IV2"/>
    </sheetView>
  </sheetViews>
  <sheetFormatPr defaultColWidth="8.8515625" defaultRowHeight="12.75"/>
  <cols>
    <col min="1" max="1" width="8.8515625" style="169" customWidth="1"/>
    <col min="2" max="2" width="23.00390625" style="169" customWidth="1"/>
    <col min="3" max="3" width="10.57421875" style="169" customWidth="1"/>
    <col min="4" max="4" width="8.8515625" style="169" customWidth="1"/>
    <col min="5" max="5" width="22.00390625" style="169" customWidth="1"/>
    <col min="6" max="6" width="8.8515625" style="169" customWidth="1"/>
    <col min="7" max="7" width="12.7109375" style="169" customWidth="1"/>
    <col min="8" max="8" width="8.8515625" style="169" customWidth="1"/>
    <col min="9" max="9" width="18.28125" style="169" customWidth="1"/>
    <col min="10" max="10" width="17.00390625" style="169" customWidth="1"/>
    <col min="11" max="11" width="5.57421875" style="169" customWidth="1"/>
    <col min="12" max="12" width="18.7109375" style="169" customWidth="1"/>
    <col min="13" max="16384" width="8.8515625" style="169" customWidth="1"/>
  </cols>
  <sheetData>
    <row r="1" spans="2:12" ht="15.75">
      <c r="B1" s="1504" t="s">
        <v>622</v>
      </c>
      <c r="C1" s="1504"/>
      <c r="D1" s="1504"/>
      <c r="E1" s="1504"/>
      <c r="F1" s="1504"/>
      <c r="G1" s="1504"/>
      <c r="H1" s="1504"/>
      <c r="I1" s="1504"/>
      <c r="J1" s="1504"/>
      <c r="K1" s="1504"/>
      <c r="L1" s="1504"/>
    </row>
    <row r="2" spans="2:12" ht="15.75">
      <c r="B2" s="1505" t="s">
        <v>567</v>
      </c>
      <c r="C2" s="1505"/>
      <c r="D2" s="1505"/>
      <c r="E2" s="1505"/>
      <c r="F2" s="1505"/>
      <c r="G2" s="1505"/>
      <c r="H2" s="1505"/>
      <c r="I2" s="1505"/>
      <c r="J2" s="1505"/>
      <c r="K2" s="1505"/>
      <c r="L2" s="1505"/>
    </row>
    <row r="3" spans="2:12" ht="15.75">
      <c r="B3" s="1505" t="s">
        <v>598</v>
      </c>
      <c r="C3" s="1505"/>
      <c r="D3" s="1505"/>
      <c r="E3" s="1505"/>
      <c r="F3" s="1505"/>
      <c r="G3" s="1505"/>
      <c r="H3" s="1505"/>
      <c r="I3" s="1505"/>
      <c r="J3" s="1505"/>
      <c r="K3" s="1505"/>
      <c r="L3" s="1505"/>
    </row>
    <row r="4" spans="2:12" ht="15.75">
      <c r="B4" s="388"/>
      <c r="C4" s="388"/>
      <c r="D4" s="388"/>
      <c r="E4" s="1505"/>
      <c r="F4" s="1505"/>
      <c r="G4" s="1505"/>
      <c r="H4" s="1505"/>
      <c r="I4" s="388"/>
      <c r="J4" s="388"/>
      <c r="K4" s="388"/>
      <c r="L4" s="388"/>
    </row>
    <row r="5" spans="2:12" ht="12.75">
      <c r="B5" s="387"/>
      <c r="C5" s="387"/>
      <c r="D5" s="387"/>
      <c r="E5" s="387"/>
      <c r="F5" s="387"/>
      <c r="G5" s="387"/>
      <c r="H5" s="387"/>
      <c r="I5" s="387"/>
      <c r="J5" s="387"/>
      <c r="K5" s="387"/>
      <c r="L5" s="387"/>
    </row>
    <row r="6" spans="2:12" ht="12.75">
      <c r="B6" s="387"/>
      <c r="C6" s="387"/>
      <c r="D6" s="387"/>
      <c r="E6" s="387"/>
      <c r="F6" s="387"/>
      <c r="G6" s="387"/>
      <c r="H6" s="387"/>
      <c r="I6" s="387"/>
      <c r="J6" s="387"/>
      <c r="K6" s="387"/>
      <c r="L6" s="387"/>
    </row>
    <row r="7" spans="2:12" ht="16.5" thickBot="1">
      <c r="B7" s="914"/>
      <c r="C7" s="915"/>
      <c r="D7" s="915"/>
      <c r="E7" s="915"/>
      <c r="F7" s="915"/>
      <c r="G7" s="915"/>
      <c r="H7" s="915"/>
      <c r="I7" s="915"/>
      <c r="J7" s="915"/>
      <c r="K7" s="915"/>
      <c r="L7" s="915"/>
    </row>
    <row r="8" spans="2:12" ht="78.75" customHeight="1">
      <c r="B8" s="916" t="str">
        <f>"Reconciliation Revenue Requirement For Year "&amp;TCOS!L2+1&amp;" Available                                 May 25, "&amp;TCOS!L2+2&amp;""</f>
        <v>Reconciliation Revenue Requirement For Year 2018 Available                                 May 25, 2019</v>
      </c>
      <c r="C8" s="915"/>
      <c r="D8" s="915"/>
      <c r="E8" s="916" t="str">
        <f>""&amp;TCOS!L2+1&amp;" Revenue Requirement Forecast by October 31, "&amp;TCOS!L2&amp;""</f>
        <v>2018 Revenue Requirement Forecast by October 31, 2017</v>
      </c>
      <c r="F8" s="915"/>
      <c r="G8" s="915"/>
      <c r="H8" s="388"/>
      <c r="I8" s="916" t="s">
        <v>569</v>
      </c>
      <c r="J8" s="388"/>
      <c r="K8" s="388"/>
      <c r="L8" s="388"/>
    </row>
    <row r="9" spans="2:12" ht="15.75">
      <c r="B9" s="917" t="s">
        <v>417</v>
      </c>
      <c r="C9" s="915"/>
      <c r="D9" s="915"/>
      <c r="E9" s="917"/>
      <c r="F9" s="915"/>
      <c r="G9" s="915"/>
      <c r="H9" s="388"/>
      <c r="I9" s="918"/>
      <c r="J9" s="388"/>
      <c r="K9" s="388"/>
      <c r="L9" s="388"/>
    </row>
    <row r="10" spans="2:12" ht="16.5" thickBot="1">
      <c r="B10" s="913"/>
      <c r="C10" s="919" t="str">
        <f>"-"</f>
        <v>-</v>
      </c>
      <c r="D10" s="920"/>
      <c r="E10" s="913"/>
      <c r="F10" s="921"/>
      <c r="G10" s="922" t="str">
        <f>"="</f>
        <v>=</v>
      </c>
      <c r="H10" s="923"/>
      <c r="I10" s="924">
        <f>IF(B10=0,0,E10-B10)</f>
        <v>0</v>
      </c>
      <c r="J10" s="388"/>
      <c r="K10" s="388"/>
      <c r="L10" s="388"/>
    </row>
    <row r="11" spans="2:12" ht="15.75">
      <c r="B11" s="925"/>
      <c r="C11" s="926"/>
      <c r="D11" s="926"/>
      <c r="E11" s="925"/>
      <c r="F11" s="925"/>
      <c r="G11" s="926"/>
      <c r="H11" s="925"/>
      <c r="I11" s="388"/>
      <c r="J11" s="388"/>
      <c r="K11" s="388"/>
      <c r="L11" s="388"/>
    </row>
    <row r="12" spans="2:12" ht="16.5" thickBot="1">
      <c r="B12" s="927"/>
      <c r="C12" s="928"/>
      <c r="D12" s="928"/>
      <c r="E12" s="927"/>
      <c r="F12" s="927"/>
      <c r="G12" s="928"/>
      <c r="H12" s="927"/>
      <c r="I12" s="929"/>
      <c r="J12" s="929"/>
      <c r="K12" s="929"/>
      <c r="L12" s="929"/>
    </row>
    <row r="13" spans="2:12" ht="15.75">
      <c r="B13" s="930"/>
      <c r="C13" s="926"/>
      <c r="D13" s="926"/>
      <c r="E13" s="925"/>
      <c r="F13" s="925"/>
      <c r="G13" s="926"/>
      <c r="H13" s="925"/>
      <c r="I13" s="388"/>
      <c r="J13" s="388"/>
      <c r="K13" s="388"/>
      <c r="L13" s="388"/>
    </row>
    <row r="14" spans="2:12" ht="47.25">
      <c r="B14" s="931" t="s">
        <v>634</v>
      </c>
      <c r="C14" s="926"/>
      <c r="D14" s="926"/>
      <c r="E14" s="932" t="s">
        <v>570</v>
      </c>
      <c r="F14" s="925"/>
      <c r="G14" s="932" t="s">
        <v>571</v>
      </c>
      <c r="H14" s="933" t="s">
        <v>572</v>
      </c>
      <c r="I14" s="934" t="s">
        <v>573</v>
      </c>
      <c r="J14" s="932" t="s">
        <v>574</v>
      </c>
      <c r="K14" s="935"/>
      <c r="L14" s="932" t="s">
        <v>575</v>
      </c>
    </row>
    <row r="15" spans="2:12" ht="15.75">
      <c r="B15" s="931" t="s">
        <v>635</v>
      </c>
      <c r="C15" s="926"/>
      <c r="D15" s="926"/>
      <c r="E15" s="388"/>
      <c r="F15" s="936"/>
      <c r="G15" s="950"/>
      <c r="I15" s="388"/>
      <c r="J15" s="388"/>
      <c r="K15" s="388"/>
      <c r="L15" s="388"/>
    </row>
    <row r="16" spans="2:12" ht="15.75">
      <c r="B16" s="931"/>
      <c r="C16" s="926"/>
      <c r="D16" s="926"/>
      <c r="E16" s="388"/>
      <c r="F16" s="936"/>
      <c r="G16" s="936"/>
      <c r="H16" s="925"/>
      <c r="I16" s="388"/>
      <c r="J16" s="388"/>
      <c r="K16" s="388"/>
      <c r="L16" s="388"/>
    </row>
    <row r="17" spans="2:12" ht="15.75">
      <c r="B17" s="931" t="s">
        <v>576</v>
      </c>
      <c r="C17" s="926"/>
      <c r="D17" s="926"/>
      <c r="E17" s="388"/>
      <c r="F17" s="936"/>
      <c r="G17" s="936"/>
      <c r="H17" s="925"/>
      <c r="I17" s="388"/>
      <c r="J17" s="388"/>
      <c r="K17" s="388"/>
      <c r="L17" s="388"/>
    </row>
    <row r="18" spans="2:12" ht="15.75">
      <c r="B18" s="937" t="s">
        <v>417</v>
      </c>
      <c r="C18" s="926"/>
      <c r="D18" s="926"/>
      <c r="E18" s="926"/>
      <c r="F18" s="926"/>
      <c r="G18" s="926" t="s">
        <v>417</v>
      </c>
      <c r="H18" s="388"/>
      <c r="I18" s="388"/>
      <c r="J18" s="388"/>
      <c r="K18" s="388"/>
      <c r="L18" s="388"/>
    </row>
    <row r="19" spans="2:12" ht="15.75">
      <c r="B19" s="938"/>
      <c r="C19" s="926"/>
      <c r="D19" s="926"/>
      <c r="E19" s="926"/>
      <c r="F19" s="926"/>
      <c r="G19" s="388"/>
      <c r="H19" s="388"/>
      <c r="I19" s="933"/>
      <c r="J19" s="926"/>
      <c r="K19" s="926"/>
      <c r="L19" s="926"/>
    </row>
    <row r="20" spans="2:12" ht="15.75">
      <c r="B20" s="938" t="s">
        <v>577</v>
      </c>
      <c r="C20" s="926"/>
      <c r="D20" s="926"/>
      <c r="E20" s="926"/>
      <c r="F20" s="926"/>
      <c r="G20" s="388"/>
      <c r="H20" s="388"/>
      <c r="I20" s="933" t="s">
        <v>578</v>
      </c>
      <c r="J20" s="926"/>
      <c r="K20" s="926"/>
      <c r="L20" s="926"/>
    </row>
    <row r="21" spans="2:12" ht="15.75">
      <c r="B21" s="915" t="s">
        <v>579</v>
      </c>
      <c r="C21" s="915" t="str">
        <f>"Year "&amp;TCOS!L2+1&amp;""</f>
        <v>Year 2018</v>
      </c>
      <c r="D21" s="915"/>
      <c r="E21" s="939">
        <f>I10/12</f>
        <v>0</v>
      </c>
      <c r="F21" s="939"/>
      <c r="G21" s="940">
        <f>+G15</f>
        <v>0</v>
      </c>
      <c r="H21" s="941">
        <v>12</v>
      </c>
      <c r="I21" s="939">
        <f>G21*E21*H21*-1</f>
        <v>0</v>
      </c>
      <c r="J21" s="939"/>
      <c r="K21" s="939"/>
      <c r="L21" s="939">
        <f>(-I21+E21)*-1</f>
        <v>0</v>
      </c>
    </row>
    <row r="22" spans="2:12" ht="15.75">
      <c r="B22" s="915" t="s">
        <v>580</v>
      </c>
      <c r="C22" s="915" t="str">
        <f>C21</f>
        <v>Year 2018</v>
      </c>
      <c r="D22" s="915"/>
      <c r="E22" s="939">
        <f>+E21</f>
        <v>0</v>
      </c>
      <c r="F22" s="939"/>
      <c r="G22" s="940">
        <f>+G21</f>
        <v>0</v>
      </c>
      <c r="H22" s="941">
        <f aca="true" t="shared" si="0" ref="H22:H32">+H21-1</f>
        <v>11</v>
      </c>
      <c r="I22" s="939">
        <f aca="true" t="shared" si="1" ref="I22:I32">G22*E22*H22*-1</f>
        <v>0</v>
      </c>
      <c r="J22" s="939"/>
      <c r="K22" s="939"/>
      <c r="L22" s="939">
        <f aca="true" t="shared" si="2" ref="L22:L32">(-I22+E22)*-1</f>
        <v>0</v>
      </c>
    </row>
    <row r="23" spans="2:12" ht="15.75">
      <c r="B23" s="915" t="s">
        <v>581</v>
      </c>
      <c r="C23" s="915" t="str">
        <f>C21</f>
        <v>Year 2018</v>
      </c>
      <c r="D23" s="915"/>
      <c r="E23" s="939">
        <f aca="true" t="shared" si="3" ref="E23:E32">+E22</f>
        <v>0</v>
      </c>
      <c r="F23" s="939"/>
      <c r="G23" s="940">
        <f aca="true" t="shared" si="4" ref="G23:G32">+G22</f>
        <v>0</v>
      </c>
      <c r="H23" s="941">
        <f t="shared" si="0"/>
        <v>10</v>
      </c>
      <c r="I23" s="939">
        <f t="shared" si="1"/>
        <v>0</v>
      </c>
      <c r="J23" s="939"/>
      <c r="K23" s="939"/>
      <c r="L23" s="939">
        <f t="shared" si="2"/>
        <v>0</v>
      </c>
    </row>
    <row r="24" spans="2:12" ht="15.75">
      <c r="B24" s="915" t="s">
        <v>582</v>
      </c>
      <c r="C24" s="915" t="str">
        <f>C21</f>
        <v>Year 2018</v>
      </c>
      <c r="D24" s="915"/>
      <c r="E24" s="939">
        <f t="shared" si="3"/>
        <v>0</v>
      </c>
      <c r="F24" s="939"/>
      <c r="G24" s="940">
        <f t="shared" si="4"/>
        <v>0</v>
      </c>
      <c r="H24" s="941">
        <f t="shared" si="0"/>
        <v>9</v>
      </c>
      <c r="I24" s="939">
        <f t="shared" si="1"/>
        <v>0</v>
      </c>
      <c r="J24" s="939"/>
      <c r="K24" s="939"/>
      <c r="L24" s="939">
        <f t="shared" si="2"/>
        <v>0</v>
      </c>
    </row>
    <row r="25" spans="2:12" ht="15.75">
      <c r="B25" s="915" t="s">
        <v>583</v>
      </c>
      <c r="C25" s="915" t="str">
        <f>C21</f>
        <v>Year 2018</v>
      </c>
      <c r="D25" s="915"/>
      <c r="E25" s="939">
        <f t="shared" si="3"/>
        <v>0</v>
      </c>
      <c r="F25" s="939"/>
      <c r="G25" s="940">
        <f t="shared" si="4"/>
        <v>0</v>
      </c>
      <c r="H25" s="941">
        <f t="shared" si="0"/>
        <v>8</v>
      </c>
      <c r="I25" s="939">
        <f t="shared" si="1"/>
        <v>0</v>
      </c>
      <c r="J25" s="939"/>
      <c r="K25" s="939"/>
      <c r="L25" s="939">
        <f t="shared" si="2"/>
        <v>0</v>
      </c>
    </row>
    <row r="26" spans="2:12" ht="15.75">
      <c r="B26" s="915" t="s">
        <v>584</v>
      </c>
      <c r="C26" s="915" t="str">
        <f>C21</f>
        <v>Year 2018</v>
      </c>
      <c r="D26" s="915"/>
      <c r="E26" s="939">
        <f t="shared" si="3"/>
        <v>0</v>
      </c>
      <c r="F26" s="939"/>
      <c r="G26" s="940">
        <f t="shared" si="4"/>
        <v>0</v>
      </c>
      <c r="H26" s="941">
        <f t="shared" si="0"/>
        <v>7</v>
      </c>
      <c r="I26" s="939">
        <f t="shared" si="1"/>
        <v>0</v>
      </c>
      <c r="J26" s="939"/>
      <c r="K26" s="939"/>
      <c r="L26" s="939">
        <f t="shared" si="2"/>
        <v>0</v>
      </c>
    </row>
    <row r="27" spans="2:12" ht="15.75">
      <c r="B27" s="915" t="s">
        <v>585</v>
      </c>
      <c r="C27" s="915" t="str">
        <f>C21</f>
        <v>Year 2018</v>
      </c>
      <c r="D27" s="915"/>
      <c r="E27" s="939">
        <f t="shared" si="3"/>
        <v>0</v>
      </c>
      <c r="F27" s="939"/>
      <c r="G27" s="940">
        <f t="shared" si="4"/>
        <v>0</v>
      </c>
      <c r="H27" s="941">
        <f t="shared" si="0"/>
        <v>6</v>
      </c>
      <c r="I27" s="939">
        <f t="shared" si="1"/>
        <v>0</v>
      </c>
      <c r="J27" s="939"/>
      <c r="K27" s="939"/>
      <c r="L27" s="939">
        <f t="shared" si="2"/>
        <v>0</v>
      </c>
    </row>
    <row r="28" spans="2:12" ht="15.75">
      <c r="B28" s="915" t="s">
        <v>586</v>
      </c>
      <c r="C28" s="915" t="str">
        <f>C21</f>
        <v>Year 2018</v>
      </c>
      <c r="D28" s="915"/>
      <c r="E28" s="939">
        <f t="shared" si="3"/>
        <v>0</v>
      </c>
      <c r="F28" s="939"/>
      <c r="G28" s="940">
        <f t="shared" si="4"/>
        <v>0</v>
      </c>
      <c r="H28" s="941">
        <f t="shared" si="0"/>
        <v>5</v>
      </c>
      <c r="I28" s="939">
        <f t="shared" si="1"/>
        <v>0</v>
      </c>
      <c r="J28" s="939"/>
      <c r="K28" s="939"/>
      <c r="L28" s="939">
        <f t="shared" si="2"/>
        <v>0</v>
      </c>
    </row>
    <row r="29" spans="2:12" ht="15.75">
      <c r="B29" s="915" t="s">
        <v>587</v>
      </c>
      <c r="C29" s="915" t="str">
        <f>C21</f>
        <v>Year 2018</v>
      </c>
      <c r="D29" s="915"/>
      <c r="E29" s="939">
        <f t="shared" si="3"/>
        <v>0</v>
      </c>
      <c r="F29" s="939"/>
      <c r="G29" s="940">
        <f t="shared" si="4"/>
        <v>0</v>
      </c>
      <c r="H29" s="941">
        <f t="shared" si="0"/>
        <v>4</v>
      </c>
      <c r="I29" s="939">
        <f t="shared" si="1"/>
        <v>0</v>
      </c>
      <c r="J29" s="939"/>
      <c r="K29" s="939"/>
      <c r="L29" s="939">
        <f t="shared" si="2"/>
        <v>0</v>
      </c>
    </row>
    <row r="30" spans="2:12" ht="15.75">
      <c r="B30" s="915" t="s">
        <v>588</v>
      </c>
      <c r="C30" s="915" t="str">
        <f>C21</f>
        <v>Year 2018</v>
      </c>
      <c r="D30" s="915"/>
      <c r="E30" s="939">
        <f t="shared" si="3"/>
        <v>0</v>
      </c>
      <c r="F30" s="939"/>
      <c r="G30" s="940">
        <f t="shared" si="4"/>
        <v>0</v>
      </c>
      <c r="H30" s="941">
        <f t="shared" si="0"/>
        <v>3</v>
      </c>
      <c r="I30" s="939">
        <f t="shared" si="1"/>
        <v>0</v>
      </c>
      <c r="J30" s="939"/>
      <c r="K30" s="939"/>
      <c r="L30" s="939">
        <f t="shared" si="2"/>
        <v>0</v>
      </c>
    </row>
    <row r="31" spans="2:12" ht="15.75">
      <c r="B31" s="915" t="s">
        <v>589</v>
      </c>
      <c r="C31" s="915" t="str">
        <f>C21</f>
        <v>Year 2018</v>
      </c>
      <c r="D31" s="915"/>
      <c r="E31" s="939">
        <f t="shared" si="3"/>
        <v>0</v>
      </c>
      <c r="F31" s="939"/>
      <c r="G31" s="940">
        <f t="shared" si="4"/>
        <v>0</v>
      </c>
      <c r="H31" s="941">
        <f t="shared" si="0"/>
        <v>2</v>
      </c>
      <c r="I31" s="939">
        <f t="shared" si="1"/>
        <v>0</v>
      </c>
      <c r="J31" s="939"/>
      <c r="K31" s="939"/>
      <c r="L31" s="939">
        <f t="shared" si="2"/>
        <v>0</v>
      </c>
    </row>
    <row r="32" spans="2:12" ht="15.75">
      <c r="B32" s="915" t="s">
        <v>590</v>
      </c>
      <c r="C32" s="915" t="str">
        <f>C21</f>
        <v>Year 2018</v>
      </c>
      <c r="D32" s="915"/>
      <c r="E32" s="939">
        <f t="shared" si="3"/>
        <v>0</v>
      </c>
      <c r="F32" s="939"/>
      <c r="G32" s="940">
        <f t="shared" si="4"/>
        <v>0</v>
      </c>
      <c r="H32" s="941">
        <f t="shared" si="0"/>
        <v>1</v>
      </c>
      <c r="I32" s="942">
        <f t="shared" si="1"/>
        <v>0</v>
      </c>
      <c r="J32" s="939"/>
      <c r="K32" s="939"/>
      <c r="L32" s="939">
        <f t="shared" si="2"/>
        <v>0</v>
      </c>
    </row>
    <row r="33" spans="2:12" ht="15.75">
      <c r="B33" s="915"/>
      <c r="C33" s="915"/>
      <c r="D33" s="915"/>
      <c r="E33" s="939"/>
      <c r="F33" s="939"/>
      <c r="G33" s="940"/>
      <c r="H33" s="915"/>
      <c r="I33" s="939">
        <f>SUM(I21:I32)</f>
        <v>0</v>
      </c>
      <c r="J33" s="939"/>
      <c r="K33" s="939"/>
      <c r="L33" s="943">
        <f>SUM(L21:L32)</f>
        <v>0</v>
      </c>
    </row>
    <row r="34" spans="2:12" ht="15.75">
      <c r="B34" s="915"/>
      <c r="C34" s="915"/>
      <c r="D34" s="915"/>
      <c r="E34" s="939"/>
      <c r="F34" s="939"/>
      <c r="G34" s="940"/>
      <c r="H34" s="915"/>
      <c r="I34" s="939"/>
      <c r="J34" s="939" t="s">
        <v>417</v>
      </c>
      <c r="K34" s="939"/>
      <c r="L34" s="388"/>
    </row>
    <row r="35" spans="2:12" ht="15.75">
      <c r="B35" s="915"/>
      <c r="C35" s="915"/>
      <c r="D35" s="915"/>
      <c r="E35" s="925"/>
      <c r="F35" s="925"/>
      <c r="G35" s="940"/>
      <c r="H35" s="915"/>
      <c r="I35" s="944" t="s">
        <v>591</v>
      </c>
      <c r="J35" s="939"/>
      <c r="K35" s="939"/>
      <c r="L35" s="939"/>
    </row>
    <row r="36" spans="2:12" ht="15.75">
      <c r="B36" s="915" t="s">
        <v>592</v>
      </c>
      <c r="C36" s="915" t="str">
        <f>"Year "&amp;TCOS!L2+1+1&amp;""</f>
        <v>Year 2019</v>
      </c>
      <c r="D36" s="915"/>
      <c r="E36" s="925">
        <f>L33</f>
        <v>0</v>
      </c>
      <c r="F36" s="925"/>
      <c r="G36" s="940">
        <f>+G32</f>
        <v>0</v>
      </c>
      <c r="H36" s="941">
        <v>12</v>
      </c>
      <c r="I36" s="939">
        <f>+H36*G36*E36</f>
        <v>0</v>
      </c>
      <c r="J36" s="939"/>
      <c r="K36" s="939"/>
      <c r="L36" s="943">
        <f>+E36+I36</f>
        <v>0</v>
      </c>
    </row>
    <row r="37" spans="2:12" ht="15.75">
      <c r="B37" s="915"/>
      <c r="C37" s="915"/>
      <c r="D37" s="915"/>
      <c r="E37" s="925"/>
      <c r="F37" s="925"/>
      <c r="G37" s="940"/>
      <c r="H37" s="915"/>
      <c r="I37" s="939"/>
      <c r="J37" s="939"/>
      <c r="K37" s="939"/>
      <c r="L37" s="939"/>
    </row>
    <row r="38" spans="2:12" ht="15.75">
      <c r="B38" s="945" t="s">
        <v>593</v>
      </c>
      <c r="C38" s="915"/>
      <c r="D38" s="915"/>
      <c r="E38" s="939"/>
      <c r="F38" s="939"/>
      <c r="G38" s="940"/>
      <c r="H38" s="915"/>
      <c r="I38" s="944" t="s">
        <v>578</v>
      </c>
      <c r="J38" s="939"/>
      <c r="K38" s="939"/>
      <c r="L38" s="939"/>
    </row>
    <row r="39" spans="2:12" ht="15.75">
      <c r="B39" s="915" t="s">
        <v>579</v>
      </c>
      <c r="C39" s="915" t="str">
        <f>"Year "&amp;TCOS!L2+3&amp;""</f>
        <v>Year 2020</v>
      </c>
      <c r="D39" s="915"/>
      <c r="E39" s="946">
        <f>-L36</f>
        <v>0</v>
      </c>
      <c r="F39" s="925"/>
      <c r="G39" s="940">
        <f>+G32</f>
        <v>0</v>
      </c>
      <c r="H39" s="915"/>
      <c r="I39" s="939">
        <f>-G39*E39</f>
        <v>0</v>
      </c>
      <c r="J39" s="939">
        <f>PMT(G39,12,L$36)</f>
        <v>0</v>
      </c>
      <c r="K39" s="939"/>
      <c r="L39" s="939">
        <f>(+E39+E39*G39-J39)*-1</f>
        <v>0</v>
      </c>
    </row>
    <row r="40" spans="2:12" ht="15.75">
      <c r="B40" s="915" t="s">
        <v>580</v>
      </c>
      <c r="C40" s="915" t="str">
        <f>+C39</f>
        <v>Year 2020</v>
      </c>
      <c r="D40" s="915"/>
      <c r="E40" s="925">
        <f>-L39</f>
        <v>0</v>
      </c>
      <c r="F40" s="925"/>
      <c r="G40" s="940">
        <f>+G39</f>
        <v>0</v>
      </c>
      <c r="H40" s="915"/>
      <c r="I40" s="939">
        <f>-G40*E40</f>
        <v>0</v>
      </c>
      <c r="J40" s="939">
        <f>J39</f>
        <v>0</v>
      </c>
      <c r="K40" s="939"/>
      <c r="L40" s="939">
        <f aca="true" t="shared" si="5" ref="L40:L50">(+E40+E40*G40-J40)*-1</f>
        <v>0</v>
      </c>
    </row>
    <row r="41" spans="2:12" ht="15.75">
      <c r="B41" s="915" t="s">
        <v>581</v>
      </c>
      <c r="C41" s="915" t="str">
        <f>+C40</f>
        <v>Year 2020</v>
      </c>
      <c r="D41" s="915"/>
      <c r="E41" s="925">
        <f aca="true" t="shared" si="6" ref="E41:E50">-L40</f>
        <v>0</v>
      </c>
      <c r="F41" s="925"/>
      <c r="G41" s="940">
        <f aca="true" t="shared" si="7" ref="G41:G50">+G40</f>
        <v>0</v>
      </c>
      <c r="H41" s="915"/>
      <c r="I41" s="939">
        <f aca="true" t="shared" si="8" ref="I41:I50">-G41*E41</f>
        <v>0</v>
      </c>
      <c r="J41" s="939">
        <f aca="true" t="shared" si="9" ref="J41:J50">J40</f>
        <v>0</v>
      </c>
      <c r="K41" s="939"/>
      <c r="L41" s="939">
        <f t="shared" si="5"/>
        <v>0</v>
      </c>
    </row>
    <row r="42" spans="2:12" ht="15.75">
      <c r="B42" s="915" t="s">
        <v>582</v>
      </c>
      <c r="C42" s="915" t="str">
        <f>+C41</f>
        <v>Year 2020</v>
      </c>
      <c r="D42" s="915"/>
      <c r="E42" s="925">
        <f t="shared" si="6"/>
        <v>0</v>
      </c>
      <c r="F42" s="925"/>
      <c r="G42" s="940">
        <f t="shared" si="7"/>
        <v>0</v>
      </c>
      <c r="H42" s="915"/>
      <c r="I42" s="939">
        <f t="shared" si="8"/>
        <v>0</v>
      </c>
      <c r="J42" s="939">
        <f t="shared" si="9"/>
        <v>0</v>
      </c>
      <c r="K42" s="939"/>
      <c r="L42" s="939">
        <f t="shared" si="5"/>
        <v>0</v>
      </c>
    </row>
    <row r="43" spans="2:12" ht="15.75">
      <c r="B43" s="915" t="s">
        <v>583</v>
      </c>
      <c r="C43" s="915" t="str">
        <f>+C42</f>
        <v>Year 2020</v>
      </c>
      <c r="D43" s="915"/>
      <c r="E43" s="925">
        <f t="shared" si="6"/>
        <v>0</v>
      </c>
      <c r="F43" s="925"/>
      <c r="G43" s="940">
        <f t="shared" si="7"/>
        <v>0</v>
      </c>
      <c r="H43" s="915"/>
      <c r="I43" s="939">
        <f t="shared" si="8"/>
        <v>0</v>
      </c>
      <c r="J43" s="939">
        <f>J42</f>
        <v>0</v>
      </c>
      <c r="K43" s="939"/>
      <c r="L43" s="939">
        <f t="shared" si="5"/>
        <v>0</v>
      </c>
    </row>
    <row r="44" spans="2:12" ht="15.75">
      <c r="B44" s="915" t="s">
        <v>584</v>
      </c>
      <c r="C44" s="915" t="str">
        <f>C43</f>
        <v>Year 2020</v>
      </c>
      <c r="D44" s="388"/>
      <c r="E44" s="925">
        <f t="shared" si="6"/>
        <v>0</v>
      </c>
      <c r="F44" s="925"/>
      <c r="G44" s="940">
        <f t="shared" si="7"/>
        <v>0</v>
      </c>
      <c r="H44" s="915"/>
      <c r="I44" s="939">
        <f t="shared" si="8"/>
        <v>0</v>
      </c>
      <c r="J44" s="939">
        <f t="shared" si="9"/>
        <v>0</v>
      </c>
      <c r="K44" s="939"/>
      <c r="L44" s="939">
        <f t="shared" si="5"/>
        <v>0</v>
      </c>
    </row>
    <row r="45" spans="2:12" ht="15.75">
      <c r="B45" s="915" t="s">
        <v>585</v>
      </c>
      <c r="C45" s="915" t="str">
        <f aca="true" t="shared" si="10" ref="C45:C50">+C44</f>
        <v>Year 2020</v>
      </c>
      <c r="D45" s="915"/>
      <c r="E45" s="925">
        <f t="shared" si="6"/>
        <v>0</v>
      </c>
      <c r="F45" s="925"/>
      <c r="G45" s="940">
        <f t="shared" si="7"/>
        <v>0</v>
      </c>
      <c r="H45" s="915"/>
      <c r="I45" s="939">
        <f t="shared" si="8"/>
        <v>0</v>
      </c>
      <c r="J45" s="939">
        <f t="shared" si="9"/>
        <v>0</v>
      </c>
      <c r="K45" s="939"/>
      <c r="L45" s="939">
        <f t="shared" si="5"/>
        <v>0</v>
      </c>
    </row>
    <row r="46" spans="2:12" ht="15.75">
      <c r="B46" s="915" t="s">
        <v>586</v>
      </c>
      <c r="C46" s="915" t="str">
        <f t="shared" si="10"/>
        <v>Year 2020</v>
      </c>
      <c r="D46" s="915"/>
      <c r="E46" s="925">
        <f t="shared" si="6"/>
        <v>0</v>
      </c>
      <c r="F46" s="925"/>
      <c r="G46" s="940">
        <f t="shared" si="7"/>
        <v>0</v>
      </c>
      <c r="H46" s="915"/>
      <c r="I46" s="939">
        <f t="shared" si="8"/>
        <v>0</v>
      </c>
      <c r="J46" s="939">
        <f t="shared" si="9"/>
        <v>0</v>
      </c>
      <c r="K46" s="939"/>
      <c r="L46" s="939">
        <f t="shared" si="5"/>
        <v>0</v>
      </c>
    </row>
    <row r="47" spans="2:12" ht="15.75">
      <c r="B47" s="915" t="s">
        <v>587</v>
      </c>
      <c r="C47" s="915" t="str">
        <f t="shared" si="10"/>
        <v>Year 2020</v>
      </c>
      <c r="D47" s="915"/>
      <c r="E47" s="925">
        <f t="shared" si="6"/>
        <v>0</v>
      </c>
      <c r="F47" s="925"/>
      <c r="G47" s="940">
        <f t="shared" si="7"/>
        <v>0</v>
      </c>
      <c r="H47" s="915"/>
      <c r="I47" s="939">
        <f t="shared" si="8"/>
        <v>0</v>
      </c>
      <c r="J47" s="939">
        <f>J46</f>
        <v>0</v>
      </c>
      <c r="K47" s="939"/>
      <c r="L47" s="939">
        <f t="shared" si="5"/>
        <v>0</v>
      </c>
    </row>
    <row r="48" spans="2:12" ht="15.75">
      <c r="B48" s="915" t="s">
        <v>588</v>
      </c>
      <c r="C48" s="915" t="str">
        <f t="shared" si="10"/>
        <v>Year 2020</v>
      </c>
      <c r="D48" s="915"/>
      <c r="E48" s="925">
        <f t="shared" si="6"/>
        <v>0</v>
      </c>
      <c r="F48" s="925"/>
      <c r="G48" s="940">
        <f t="shared" si="7"/>
        <v>0</v>
      </c>
      <c r="H48" s="915"/>
      <c r="I48" s="939">
        <f t="shared" si="8"/>
        <v>0</v>
      </c>
      <c r="J48" s="939">
        <f t="shared" si="9"/>
        <v>0</v>
      </c>
      <c r="K48" s="939"/>
      <c r="L48" s="939">
        <f t="shared" si="5"/>
        <v>0</v>
      </c>
    </row>
    <row r="49" spans="2:12" ht="15.75">
      <c r="B49" s="915" t="s">
        <v>589</v>
      </c>
      <c r="C49" s="915" t="str">
        <f t="shared" si="10"/>
        <v>Year 2020</v>
      </c>
      <c r="D49" s="915"/>
      <c r="E49" s="925">
        <f t="shared" si="6"/>
        <v>0</v>
      </c>
      <c r="F49" s="925"/>
      <c r="G49" s="940">
        <f t="shared" si="7"/>
        <v>0</v>
      </c>
      <c r="H49" s="915"/>
      <c r="I49" s="939">
        <f t="shared" si="8"/>
        <v>0</v>
      </c>
      <c r="J49" s="939">
        <f t="shared" si="9"/>
        <v>0</v>
      </c>
      <c r="K49" s="939"/>
      <c r="L49" s="939">
        <f t="shared" si="5"/>
        <v>0</v>
      </c>
    </row>
    <row r="50" spans="2:12" ht="15.75">
      <c r="B50" s="915" t="s">
        <v>590</v>
      </c>
      <c r="C50" s="915" t="str">
        <f t="shared" si="10"/>
        <v>Year 2020</v>
      </c>
      <c r="D50" s="915"/>
      <c r="E50" s="925">
        <f t="shared" si="6"/>
        <v>0</v>
      </c>
      <c r="F50" s="925"/>
      <c r="G50" s="940">
        <f t="shared" si="7"/>
        <v>0</v>
      </c>
      <c r="H50" s="915"/>
      <c r="I50" s="942">
        <f t="shared" si="8"/>
        <v>0</v>
      </c>
      <c r="J50" s="939">
        <f t="shared" si="9"/>
        <v>0</v>
      </c>
      <c r="K50" s="939"/>
      <c r="L50" s="939">
        <f t="shared" si="5"/>
        <v>0</v>
      </c>
    </row>
    <row r="51" spans="2:12" ht="15.75">
      <c r="B51" s="915"/>
      <c r="C51" s="915"/>
      <c r="D51" s="915"/>
      <c r="E51" s="925"/>
      <c r="F51" s="925"/>
      <c r="G51" s="940"/>
      <c r="H51" s="915"/>
      <c r="I51" s="939">
        <f>SUM(I39:I50)</f>
        <v>0</v>
      </c>
      <c r="J51" s="939"/>
      <c r="K51" s="939"/>
      <c r="L51" s="939"/>
    </row>
    <row r="52" spans="2:12" ht="15">
      <c r="B52" s="388"/>
      <c r="C52" s="388"/>
      <c r="D52" s="388"/>
      <c r="E52" s="388"/>
      <c r="F52" s="388"/>
      <c r="G52" s="388"/>
      <c r="H52" s="388"/>
      <c r="I52" s="388"/>
      <c r="J52" s="947"/>
      <c r="K52" s="388"/>
      <c r="L52" s="388"/>
    </row>
    <row r="53" spans="2:12" ht="15.75">
      <c r="B53" s="915" t="s">
        <v>594</v>
      </c>
      <c r="C53" s="388"/>
      <c r="D53" s="388"/>
      <c r="E53" s="388"/>
      <c r="F53" s="388"/>
      <c r="G53" s="388"/>
      <c r="H53" s="388"/>
      <c r="I53" s="388"/>
      <c r="J53" s="948">
        <f>(SUM(J39:J50)*-1)</f>
        <v>0</v>
      </c>
      <c r="K53" s="388"/>
      <c r="L53" s="388"/>
    </row>
    <row r="54" spans="2:12" ht="15.75">
      <c r="B54" s="915" t="s">
        <v>595</v>
      </c>
      <c r="C54" s="388"/>
      <c r="D54" s="388"/>
      <c r="E54" s="388"/>
      <c r="F54" s="388"/>
      <c r="G54" s="388"/>
      <c r="H54" s="388"/>
      <c r="I54" s="388"/>
      <c r="J54" s="949">
        <f>+I10</f>
        <v>0</v>
      </c>
      <c r="K54" s="388"/>
      <c r="L54" s="388"/>
    </row>
    <row r="55" spans="2:12" ht="15.75">
      <c r="B55" s="915" t="s">
        <v>596</v>
      </c>
      <c r="C55" s="388"/>
      <c r="D55" s="388"/>
      <c r="E55" s="388"/>
      <c r="F55" s="388"/>
      <c r="G55" s="388"/>
      <c r="H55" s="388"/>
      <c r="I55" s="388"/>
      <c r="J55" s="948">
        <f>(J53+J54)</f>
        <v>0</v>
      </c>
      <c r="K55" s="388"/>
      <c r="L55" s="388"/>
    </row>
    <row r="56" spans="2:12" ht="12.75">
      <c r="B56" s="387"/>
      <c r="C56" s="387"/>
      <c r="D56" s="387"/>
      <c r="E56" s="387"/>
      <c r="F56" s="387"/>
      <c r="G56" s="387"/>
      <c r="H56" s="387"/>
      <c r="I56" s="387"/>
      <c r="J56" s="387"/>
      <c r="K56" s="387"/>
      <c r="L56" s="387"/>
    </row>
    <row r="57" spans="2:12" ht="53.25" customHeight="1">
      <c r="B57" s="1506" t="s">
        <v>597</v>
      </c>
      <c r="C57" s="1506"/>
      <c r="D57" s="1506"/>
      <c r="E57" s="1506"/>
      <c r="F57" s="1506"/>
      <c r="G57" s="1506"/>
      <c r="H57" s="1506"/>
      <c r="I57" s="1506"/>
      <c r="J57" s="1506"/>
      <c r="K57" s="1506"/>
      <c r="L57" s="1506"/>
    </row>
  </sheetData>
  <sheetProtection/>
  <mergeCells count="5">
    <mergeCell ref="B1:L1"/>
    <mergeCell ref="B2:L2"/>
    <mergeCell ref="B3:L3"/>
    <mergeCell ref="E4:H4"/>
    <mergeCell ref="B57:L57"/>
  </mergeCells>
  <printOptions/>
  <pageMargins left="0.7" right="0.7" top="0.75" bottom="0.75" header="0.3" footer="0.3"/>
  <pageSetup horizontalDpi="600" verticalDpi="600" orientation="portrait" scale="56" r:id="rId1"/>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L220"/>
  <sheetViews>
    <sheetView zoomScale="75" zoomScaleNormal="75" zoomScalePageLayoutView="0" workbookViewId="0" topLeftCell="A1">
      <selection activeCell="A1" sqref="A1:I1"/>
    </sheetView>
  </sheetViews>
  <sheetFormatPr defaultColWidth="9.140625" defaultRowHeight="12.75"/>
  <cols>
    <col min="1" max="1" width="9.140625" style="15" customWidth="1"/>
    <col min="2" max="2" width="0.85546875" style="18" customWidth="1"/>
    <col min="3" max="3" width="41.57421875" style="15" customWidth="1"/>
    <col min="4" max="4" width="38.8515625" style="15" bestFit="1" customWidth="1"/>
    <col min="5" max="5" width="23.28125" style="15" customWidth="1"/>
    <col min="6" max="6" width="1.7109375" style="15" customWidth="1"/>
    <col min="7" max="7" width="23.57421875" style="15" customWidth="1"/>
    <col min="8" max="8" width="2.8515625" style="15" customWidth="1"/>
    <col min="9" max="9" width="20.00390625" style="15" customWidth="1"/>
    <col min="10" max="10" width="5.57421875" style="15" customWidth="1"/>
    <col min="11" max="12" width="9.140625" style="15" customWidth="1"/>
    <col min="13" max="13" width="10.00390625" style="15" bestFit="1" customWidth="1"/>
    <col min="14" max="14" width="17.7109375" style="15" customWidth="1"/>
    <col min="15" max="15" width="15.57421875" style="15" bestFit="1" customWidth="1"/>
    <col min="16" max="16384" width="9.140625" style="15" customWidth="1"/>
  </cols>
  <sheetData>
    <row r="1" spans="1:10" ht="15">
      <c r="A1" s="1429" t="str">
        <f>TCOS!$F$3</f>
        <v>AEPTCo subsidiaries in PJM</v>
      </c>
      <c r="B1" s="1429" t="str">
        <f>TCOS!$F$3</f>
        <v>AEPTCo subsidiaries in PJM</v>
      </c>
      <c r="C1" s="1429" t="str">
        <f>TCOS!$F$3</f>
        <v>AEPTCo subsidiaries in PJM</v>
      </c>
      <c r="D1" s="1429" t="str">
        <f>TCOS!$F$3</f>
        <v>AEPTCo subsidiaries in PJM</v>
      </c>
      <c r="E1" s="1429" t="str">
        <f>TCOS!$F$3</f>
        <v>AEPTCo subsidiaries in PJM</v>
      </c>
      <c r="F1" s="1429" t="str">
        <f>TCOS!$F$3</f>
        <v>AEPTCo subsidiaries in PJM</v>
      </c>
      <c r="G1" s="1429" t="str">
        <f>TCOS!$F$3</f>
        <v>AEPTCo subsidiaries in PJM</v>
      </c>
      <c r="H1" s="1429" t="str">
        <f>TCOS!$F$3</f>
        <v>AEPTCo subsidiaries in PJM</v>
      </c>
      <c r="I1" s="1429" t="str">
        <f>TCOS!$F$3</f>
        <v>AEPTCo subsidiaries in PJM</v>
      </c>
      <c r="J1" s="21"/>
    </row>
    <row r="2" spans="1:10" ht="15">
      <c r="A2" s="1422" t="str">
        <f>"Cost of Service Formula Rate Using Actual/Projected FF1 Balances"</f>
        <v>Cost of Service Formula Rate Using Actual/Projected FF1 Balances</v>
      </c>
      <c r="B2" s="1422"/>
      <c r="C2" s="1422"/>
      <c r="D2" s="1422"/>
      <c r="E2" s="1422"/>
      <c r="F2" s="1422"/>
      <c r="G2" s="1422"/>
      <c r="H2" s="1422"/>
      <c r="I2" s="1422"/>
      <c r="J2" s="52"/>
    </row>
    <row r="3" spans="1:10" ht="15">
      <c r="A3" s="1422" t="s">
        <v>271</v>
      </c>
      <c r="B3" s="1422"/>
      <c r="C3" s="1422"/>
      <c r="D3" s="1422"/>
      <c r="E3" s="1422"/>
      <c r="F3" s="1422"/>
      <c r="G3" s="1422"/>
      <c r="H3" s="1422"/>
      <c r="I3" s="1422"/>
      <c r="J3" s="51"/>
    </row>
    <row r="4" spans="1:10" ht="15">
      <c r="A4" s="1432" t="str">
        <f>TCOS!F7</f>
        <v>AEP WEST VIRGINIA TRANSMISSION COMPANY</v>
      </c>
      <c r="B4" s="1432"/>
      <c r="C4" s="1432"/>
      <c r="D4" s="1432"/>
      <c r="E4" s="1432"/>
      <c r="F4" s="1432"/>
      <c r="G4" s="1432"/>
      <c r="H4" s="1432"/>
      <c r="I4" s="1432"/>
      <c r="J4" s="3"/>
    </row>
    <row r="5" spans="3:4" ht="12.75">
      <c r="C5" s="17"/>
      <c r="D5" s="17"/>
    </row>
    <row r="6" spans="1:12" ht="15">
      <c r="A6" s="966"/>
      <c r="B6" s="977"/>
      <c r="C6" s="981" t="s">
        <v>463</v>
      </c>
      <c r="D6" s="981" t="s">
        <v>464</v>
      </c>
      <c r="E6" s="981" t="s">
        <v>465</v>
      </c>
      <c r="F6" s="966"/>
      <c r="G6" s="981" t="s">
        <v>466</v>
      </c>
      <c r="H6" s="966"/>
      <c r="I6" s="981" t="s">
        <v>386</v>
      </c>
      <c r="J6" s="5"/>
      <c r="K6"/>
      <c r="L6"/>
    </row>
    <row r="7" spans="1:12" ht="15">
      <c r="A7" s="965"/>
      <c r="B7" s="977"/>
      <c r="C7" s="966"/>
      <c r="D7" s="966"/>
      <c r="E7" s="966"/>
      <c r="F7" s="966"/>
      <c r="G7" s="966"/>
      <c r="H7" s="966"/>
      <c r="I7" s="982"/>
      <c r="J7"/>
      <c r="K7"/>
      <c r="L7"/>
    </row>
    <row r="8" spans="1:12" ht="12.75" customHeight="1">
      <c r="A8" s="980" t="s">
        <v>470</v>
      </c>
      <c r="B8" s="977"/>
      <c r="C8" s="983"/>
      <c r="D8" s="983"/>
      <c r="E8" s="1430" t="str">
        <f>"Balance @    December 31, "&amp;TCOS!L2&amp;""</f>
        <v>Balance @    December 31, 2017</v>
      </c>
      <c r="F8" s="984"/>
      <c r="G8" s="1430" t="str">
        <f>"Balance @     December 31, "&amp;TCOS!L2-1&amp;""</f>
        <v>Balance @     December 31, 2016</v>
      </c>
      <c r="H8" s="984"/>
      <c r="I8" s="1433" t="str">
        <f>"Average Balance for "&amp;TCOS!L2&amp;""</f>
        <v>Average Balance for 2017</v>
      </c>
      <c r="J8"/>
      <c r="K8"/>
      <c r="L8"/>
    </row>
    <row r="9" spans="1:12" ht="15">
      <c r="A9" s="987" t="s">
        <v>408</v>
      </c>
      <c r="B9" s="985"/>
      <c r="C9" s="980" t="s">
        <v>468</v>
      </c>
      <c r="D9" s="980" t="s">
        <v>499</v>
      </c>
      <c r="E9" s="1431"/>
      <c r="F9" s="986"/>
      <c r="G9" s="1431"/>
      <c r="H9" s="986"/>
      <c r="I9" s="1431"/>
      <c r="J9"/>
      <c r="K9"/>
      <c r="L9"/>
    </row>
    <row r="10" spans="1:7" ht="12.75">
      <c r="A10" s="50"/>
      <c r="C10" s="17"/>
      <c r="D10" s="17"/>
      <c r="G10" s="112"/>
    </row>
    <row r="11" spans="1:4" ht="12.75">
      <c r="A11" s="50"/>
      <c r="C11" s="17"/>
      <c r="D11" s="17"/>
    </row>
    <row r="12" spans="1:4" ht="12.75">
      <c r="A12" s="50"/>
      <c r="C12" s="17"/>
      <c r="D12" s="17"/>
    </row>
    <row r="13" spans="1:4" ht="15.75">
      <c r="A13" s="50">
        <v>1</v>
      </c>
      <c r="C13" s="40" t="s">
        <v>304</v>
      </c>
      <c r="D13" s="40"/>
    </row>
    <row r="14" spans="1:8" ht="15.75">
      <c r="A14" s="50"/>
      <c r="C14" s="40"/>
      <c r="D14" s="980"/>
      <c r="H14"/>
    </row>
    <row r="15" spans="1:9" ht="14.25">
      <c r="A15" s="50">
        <f>+A13+1</f>
        <v>2</v>
      </c>
      <c r="C15" s="974" t="s">
        <v>310</v>
      </c>
      <c r="D15" s="978" t="s">
        <v>312</v>
      </c>
      <c r="E15" s="964"/>
      <c r="F15" s="969"/>
      <c r="G15" s="964"/>
      <c r="H15" s="970"/>
      <c r="I15" s="971">
        <f>IF(G15="",0,(E15+G15)/2)</f>
        <v>0</v>
      </c>
    </row>
    <row r="16" spans="1:9" ht="14.25">
      <c r="A16" s="50">
        <f>+A15+1</f>
        <v>3</v>
      </c>
      <c r="C16" s="974" t="s">
        <v>314</v>
      </c>
      <c r="D16" s="1237" t="str">
        <f>"WS B-1 - Actual Stmt. AF Ln. "&amp;'WS B-1 - Actual Stmt. AF'!A24&amp;" (Note 1)"</f>
        <v>WS B-1 - Actual Stmt. AF Ln. 4 (Note 1)</v>
      </c>
      <c r="E16" s="964"/>
      <c r="F16" s="966"/>
      <c r="G16" s="964"/>
      <c r="H16" s="970"/>
      <c r="I16" s="971">
        <f>IF(G16="",0,(E16+G16)/2)</f>
        <v>0</v>
      </c>
    </row>
    <row r="17" spans="1:9" ht="16.5">
      <c r="A17" s="50">
        <f>+A16+1</f>
        <v>4</v>
      </c>
      <c r="C17" s="974" t="s">
        <v>315</v>
      </c>
      <c r="D17" s="1237" t="str">
        <f>"WS B-1 - Actual Stmt. AF Ln. "&amp;'WS B-1 - Actual Stmt. AF'!A23&amp;" (Note 1)"</f>
        <v>WS B-1 - Actual Stmt. AF Ln. 3 (Note 1)</v>
      </c>
      <c r="E17" s="968"/>
      <c r="F17" s="966"/>
      <c r="G17" s="968"/>
      <c r="H17" s="966"/>
      <c r="I17" s="972">
        <f>IF(G17="",0,(E17+G17)/2)</f>
        <v>0</v>
      </c>
    </row>
    <row r="18" spans="1:9" ht="14.25">
      <c r="A18" s="50">
        <f>+A17+1</f>
        <v>5</v>
      </c>
      <c r="C18" s="974" t="s">
        <v>311</v>
      </c>
      <c r="D18" s="979" t="str">
        <f>"Ln "&amp;A15&amp;" - ln "&amp;A16&amp;" - ln "&amp;A17&amp;""</f>
        <v>Ln 2 - ln 3 - ln 4</v>
      </c>
      <c r="E18" s="973">
        <f>+E15-E16-E17</f>
        <v>0</v>
      </c>
      <c r="F18" s="966"/>
      <c r="G18" s="973">
        <f>+G15-G16-G17</f>
        <v>0</v>
      </c>
      <c r="H18" s="966"/>
      <c r="I18" s="971">
        <f>+I15-I16-I17</f>
        <v>0</v>
      </c>
    </row>
    <row r="19" spans="1:9" ht="14.25">
      <c r="A19" s="50"/>
      <c r="C19" s="42"/>
      <c r="D19" s="974"/>
      <c r="E19" s="966"/>
      <c r="F19" s="966"/>
      <c r="G19" s="966"/>
      <c r="H19" s="966"/>
      <c r="I19" s="966"/>
    </row>
    <row r="20" spans="1:9" ht="14.25">
      <c r="A20" s="50"/>
      <c r="C20" s="42"/>
      <c r="D20" s="974"/>
      <c r="E20" s="966"/>
      <c r="F20" s="966"/>
      <c r="G20" s="966"/>
      <c r="H20" s="966"/>
      <c r="I20" s="966"/>
    </row>
    <row r="21" spans="1:9" ht="15.75">
      <c r="A21" s="50">
        <f>+A18+1</f>
        <v>6</v>
      </c>
      <c r="C21" s="40" t="s">
        <v>305</v>
      </c>
      <c r="D21" s="974"/>
      <c r="E21" s="966"/>
      <c r="F21" s="966"/>
      <c r="G21" s="966"/>
      <c r="H21" s="966"/>
      <c r="I21" s="966"/>
    </row>
    <row r="22" spans="1:9" ht="14.25">
      <c r="A22" s="50"/>
      <c r="C22" s="42"/>
      <c r="D22" s="974"/>
      <c r="E22" s="966"/>
      <c r="F22" s="966"/>
      <c r="G22" s="966"/>
      <c r="H22" s="966"/>
      <c r="I22" s="966"/>
    </row>
    <row r="23" spans="1:9" ht="14.25">
      <c r="A23" s="50">
        <f>+A21+1</f>
        <v>7</v>
      </c>
      <c r="C23" s="974" t="s">
        <v>310</v>
      </c>
      <c r="D23" s="978" t="s">
        <v>238</v>
      </c>
      <c r="E23" s="964">
        <f>'WS B-1 - Actual Stmt. AF'!D71+'WS B-1 - Actual Stmt. AF'!F71</f>
        <v>143893993.5</v>
      </c>
      <c r="F23" s="969"/>
      <c r="G23" s="964">
        <f>'WS B-1 - Actual Stmt. AF'!C71+'WS B-1 - Actual Stmt. AF'!E71</f>
        <v>103890429.5</v>
      </c>
      <c r="H23" s="970"/>
      <c r="I23" s="971">
        <f>IF(G23="",0,(E23+G23)/2)</f>
        <v>123892211.5</v>
      </c>
    </row>
    <row r="24" spans="1:9" ht="14.25">
      <c r="A24" s="50">
        <f>+A23+1</f>
        <v>8</v>
      </c>
      <c r="C24" s="974" t="s">
        <v>314</v>
      </c>
      <c r="D24" s="1237" t="str">
        <f>"WS B-1 - Actual Stmt. AF Ln. "&amp;'WS B-1 - Actual Stmt. AF'!A72&amp;" (Note 1)"</f>
        <v>WS B-1 - Actual Stmt. AF Ln. 7 (Note 1)</v>
      </c>
      <c r="E24" s="964"/>
      <c r="F24" s="966"/>
      <c r="G24" s="964"/>
      <c r="H24" s="970"/>
      <c r="I24" s="971">
        <f>IF(G24="",0,(E24+G24)/2)</f>
        <v>0</v>
      </c>
    </row>
    <row r="25" spans="1:9" ht="16.5">
      <c r="A25" s="50">
        <f>+A24+1</f>
        <v>9</v>
      </c>
      <c r="C25" s="974" t="s">
        <v>315</v>
      </c>
      <c r="D25" s="1237" t="str">
        <f>"WS B-1 - Actual Stmt. AF Ln. "&amp;'WS B-1 - Actual Stmt. AF'!A71&amp;" (Note 1)"</f>
        <v>WS B-1 - Actual Stmt. AF Ln. 6 (Note 1)</v>
      </c>
      <c r="E25" s="968"/>
      <c r="F25" s="966"/>
      <c r="G25" s="968"/>
      <c r="H25" s="966"/>
      <c r="I25" s="972">
        <f>IF(G25="",0,(E25+G25)/2)</f>
        <v>0</v>
      </c>
    </row>
    <row r="26" spans="1:9" ht="14.25">
      <c r="A26" s="50">
        <f>+A25+1</f>
        <v>10</v>
      </c>
      <c r="C26" s="974" t="s">
        <v>311</v>
      </c>
      <c r="D26" s="979" t="str">
        <f>"Ln "&amp;A23&amp;" - ln "&amp;A24&amp;" - ln "&amp;A25&amp;""</f>
        <v>Ln 7 - ln 8 - ln 9</v>
      </c>
      <c r="E26" s="973">
        <f>+E23-E24-E25</f>
        <v>143893993.5</v>
      </c>
      <c r="F26" s="966"/>
      <c r="G26" s="973">
        <f>+G23-G24-G25</f>
        <v>103890429.5</v>
      </c>
      <c r="H26" s="966"/>
      <c r="I26" s="971">
        <f>+I23-I24-I25</f>
        <v>123892211.5</v>
      </c>
    </row>
    <row r="27" spans="1:9" ht="14.25">
      <c r="A27" s="50"/>
      <c r="C27" s="42"/>
      <c r="D27" s="974"/>
      <c r="E27" s="966"/>
      <c r="F27" s="966"/>
      <c r="G27" s="966"/>
      <c r="H27" s="966"/>
      <c r="I27" s="966"/>
    </row>
    <row r="28" spans="1:9" ht="14.25">
      <c r="A28" s="50"/>
      <c r="C28" s="42"/>
      <c r="D28" s="974"/>
      <c r="E28" s="967"/>
      <c r="F28" s="966"/>
      <c r="G28" s="967"/>
      <c r="H28" s="966"/>
      <c r="I28" s="966"/>
    </row>
    <row r="29" spans="1:9" ht="15.75">
      <c r="A29" s="50">
        <f>+A26+1</f>
        <v>11</v>
      </c>
      <c r="C29" s="40" t="s">
        <v>306</v>
      </c>
      <c r="D29" s="974"/>
      <c r="E29" s="966"/>
      <c r="F29" s="966"/>
      <c r="G29" s="966"/>
      <c r="H29" s="966"/>
      <c r="I29" s="966"/>
    </row>
    <row r="30" spans="1:9" ht="15.75">
      <c r="A30" s="50"/>
      <c r="C30" s="40"/>
      <c r="D30" s="974"/>
      <c r="E30" s="966"/>
      <c r="F30" s="966"/>
      <c r="G30" s="966"/>
      <c r="H30" s="966"/>
      <c r="I30" s="966"/>
    </row>
    <row r="31" spans="1:9" ht="14.25">
      <c r="A31" s="50">
        <f>+A29+1</f>
        <v>12</v>
      </c>
      <c r="C31" s="974" t="s">
        <v>310</v>
      </c>
      <c r="D31" s="978" t="s">
        <v>313</v>
      </c>
      <c r="E31" s="988">
        <f>'WS B-1 - Actual Stmt. AF'!D183+'WS B-1 - Actual Stmt. AF'!F183</f>
        <v>29500215</v>
      </c>
      <c r="F31" s="969"/>
      <c r="G31" s="988">
        <f>'WS B-1 - Actual Stmt. AF'!C183+'WS B-1 - Actual Stmt. AF'!E183</f>
        <v>21612126</v>
      </c>
      <c r="H31" s="970"/>
      <c r="I31" s="971">
        <f>IF(G31="",0,(E31+G31)/2)</f>
        <v>25556170.5</v>
      </c>
    </row>
    <row r="32" spans="1:9" ht="14.25">
      <c r="A32" s="50">
        <f>+A31+1</f>
        <v>13</v>
      </c>
      <c r="C32" s="974" t="s">
        <v>314</v>
      </c>
      <c r="D32" s="1237" t="str">
        <f>"WS B-1 - Actual Stmt. AF Ln. "&amp;'WS B-1 - Actual Stmt. AF'!A184&amp;" (Note 1)"</f>
        <v>WS B-1 - Actual Stmt. AF Ln. 13 (Note 1)</v>
      </c>
      <c r="E32" s="964"/>
      <c r="F32" s="966"/>
      <c r="G32" s="964"/>
      <c r="H32" s="970"/>
      <c r="I32" s="971">
        <f>IF(G32="",0,(E32+G32)/2)</f>
        <v>0</v>
      </c>
    </row>
    <row r="33" spans="1:9" ht="16.5">
      <c r="A33" s="50">
        <f>+A32+1</f>
        <v>14</v>
      </c>
      <c r="C33" s="974" t="s">
        <v>315</v>
      </c>
      <c r="D33" s="1237" t="str">
        <f>"WS B-1 - Actual Stmt. AF Ln. "&amp;'WS B-1 - Actual Stmt. AF'!A183&amp;" (Note 1)"</f>
        <v>WS B-1 - Actual Stmt. AF Ln. 12 (Note 1)</v>
      </c>
      <c r="E33" s="968"/>
      <c r="F33" s="966"/>
      <c r="G33" s="968"/>
      <c r="H33" s="966"/>
      <c r="I33" s="972">
        <f>IF(G33="",0,(E33+G33)/2)</f>
        <v>0</v>
      </c>
    </row>
    <row r="34" spans="1:9" ht="14.25">
      <c r="A34" s="50">
        <f>+A33+1</f>
        <v>15</v>
      </c>
      <c r="C34" s="974" t="s">
        <v>311</v>
      </c>
      <c r="D34" s="979" t="str">
        <f>"Ln "&amp;A31&amp;" - ln "&amp;A32&amp;" - ln "&amp;A33&amp;""</f>
        <v>Ln 12 - ln 13 - ln 14</v>
      </c>
      <c r="E34" s="973">
        <f>+E31-E32-E33</f>
        <v>29500215</v>
      </c>
      <c r="F34" s="966"/>
      <c r="G34" s="973">
        <f>+G31-G32-G33</f>
        <v>21612126</v>
      </c>
      <c r="H34" s="966"/>
      <c r="I34" s="971">
        <f>+I31-I32-I33</f>
        <v>25556170.5</v>
      </c>
    </row>
    <row r="35" spans="1:9" ht="15.75">
      <c r="A35" s="50"/>
      <c r="C35" s="40"/>
      <c r="D35" s="974"/>
      <c r="E35" s="966"/>
      <c r="F35" s="966"/>
      <c r="G35" s="966"/>
      <c r="H35" s="966"/>
      <c r="I35" s="966"/>
    </row>
    <row r="36" spans="1:9" ht="14.25">
      <c r="A36" s="50"/>
      <c r="C36" s="42"/>
      <c r="D36" s="974"/>
      <c r="E36" s="966"/>
      <c r="F36" s="966"/>
      <c r="G36" s="966"/>
      <c r="H36" s="966"/>
      <c r="I36" s="966"/>
    </row>
    <row r="37" spans="1:9" ht="15.75">
      <c r="A37" s="50">
        <f>+A34+1</f>
        <v>16</v>
      </c>
      <c r="C37" s="40" t="s">
        <v>307</v>
      </c>
      <c r="D37" s="974"/>
      <c r="E37" s="966"/>
      <c r="F37" s="966"/>
      <c r="G37" s="966"/>
      <c r="H37" s="966"/>
      <c r="I37" s="966"/>
    </row>
    <row r="38" spans="1:9" ht="14.25">
      <c r="A38" s="50"/>
      <c r="C38" s="42"/>
      <c r="D38" s="974"/>
      <c r="E38" s="966"/>
      <c r="F38" s="966"/>
      <c r="G38" s="966"/>
      <c r="H38" s="966"/>
      <c r="I38" s="966"/>
    </row>
    <row r="39" spans="1:9" ht="14.25">
      <c r="A39" s="50">
        <f>+A37+1</f>
        <v>17</v>
      </c>
      <c r="C39" s="974" t="s">
        <v>310</v>
      </c>
      <c r="D39" s="978" t="s">
        <v>309</v>
      </c>
      <c r="E39" s="964">
        <f>'WS B-2 - Actual Stmt. AG'!D109+'WS B-2 - Actual Stmt. AG'!F109</f>
        <v>12826061</v>
      </c>
      <c r="F39" s="966"/>
      <c r="G39" s="964">
        <f>'WS B-2 - Actual Stmt. AG'!C109+'WS B-2 - Actual Stmt. AG'!E109</f>
        <v>10960041</v>
      </c>
      <c r="H39" s="970"/>
      <c r="I39" s="971">
        <f>IF(G39="",0,(E39+G39)/2)</f>
        <v>11893051</v>
      </c>
    </row>
    <row r="40" spans="1:9" ht="14.25">
      <c r="A40" s="50">
        <f>+A39+1</f>
        <v>18</v>
      </c>
      <c r="C40" s="974" t="s">
        <v>314</v>
      </c>
      <c r="D40" s="1237" t="str">
        <f>"WS B-2 - Actual Stmt. AG Ln. "&amp;'WS B-2 - Actual Stmt. AG'!A110&amp;" (Note 1)"</f>
        <v>WS B-2 - Actual Stmt. AG Ln. 4 (Note 1)</v>
      </c>
      <c r="E40" s="964"/>
      <c r="F40" s="966"/>
      <c r="G40" s="964"/>
      <c r="H40" s="970"/>
      <c r="I40" s="971">
        <f>IF(G40="",0,(E40+G40)/2)</f>
        <v>0</v>
      </c>
    </row>
    <row r="41" spans="1:9" ht="16.5">
      <c r="A41" s="50">
        <f>+A40+1</f>
        <v>19</v>
      </c>
      <c r="C41" s="974" t="s">
        <v>315</v>
      </c>
      <c r="D41" s="1237" t="str">
        <f>"WS B-2 - Actual Stmt. AG Ln. "&amp;'WS B-2 - Actual Stmt. AG'!A109&amp;" (Note 1)"</f>
        <v>WS B-2 - Actual Stmt. AG Ln. 3 (Note 1)</v>
      </c>
      <c r="E41" s="968"/>
      <c r="F41" s="966"/>
      <c r="G41" s="968"/>
      <c r="H41" s="966"/>
      <c r="I41" s="972">
        <f>IF(G41="",0,(E41+G41)/2)</f>
        <v>0</v>
      </c>
    </row>
    <row r="42" spans="1:9" ht="14.25">
      <c r="A42" s="50">
        <f>+A41+1</f>
        <v>20</v>
      </c>
      <c r="C42" s="974" t="s">
        <v>311</v>
      </c>
      <c r="D42" s="979" t="str">
        <f>"Ln "&amp;A39&amp;" - ln "&amp;A40&amp;" - ln "&amp;A41&amp;""</f>
        <v>Ln 17 - ln 18 - ln 19</v>
      </c>
      <c r="E42" s="973">
        <f>+E39-E40-E41</f>
        <v>12826061</v>
      </c>
      <c r="F42" s="969"/>
      <c r="G42" s="973">
        <f>+G39-G40-G41</f>
        <v>10960041</v>
      </c>
      <c r="H42" s="966"/>
      <c r="I42" s="971">
        <f>+I39-I40-I41</f>
        <v>11893051</v>
      </c>
    </row>
    <row r="43" spans="1:9" ht="14.25">
      <c r="A43" s="50"/>
      <c r="C43" s="42"/>
      <c r="D43" s="42"/>
      <c r="E43" s="966"/>
      <c r="F43" s="966"/>
      <c r="G43" s="966"/>
      <c r="H43" s="966"/>
      <c r="I43" s="966"/>
    </row>
    <row r="44" spans="1:9" ht="14.25">
      <c r="A44" s="50"/>
      <c r="C44" s="42"/>
      <c r="D44" s="42"/>
      <c r="E44" s="966"/>
      <c r="F44" s="966"/>
      <c r="G44" s="966"/>
      <c r="H44" s="966"/>
      <c r="I44" s="966"/>
    </row>
    <row r="45" spans="1:9" ht="15.75">
      <c r="A45" s="50">
        <f>+A42+1</f>
        <v>21</v>
      </c>
      <c r="C45" s="40" t="s">
        <v>308</v>
      </c>
      <c r="D45" s="42"/>
      <c r="E45" s="966"/>
      <c r="F45" s="966"/>
      <c r="G45" s="966"/>
      <c r="H45" s="966"/>
      <c r="I45" s="966"/>
    </row>
    <row r="46" spans="1:9" ht="14.25">
      <c r="A46" s="50"/>
      <c r="C46" s="42"/>
      <c r="D46" s="42"/>
      <c r="E46" s="966"/>
      <c r="F46" s="966"/>
      <c r="G46" s="966"/>
      <c r="H46" s="966"/>
      <c r="I46" s="966"/>
    </row>
    <row r="47" spans="1:9" ht="14.25">
      <c r="A47" s="50">
        <f>+A45+1</f>
        <v>22</v>
      </c>
      <c r="C47" s="974" t="s">
        <v>316</v>
      </c>
      <c r="D47" s="978" t="s">
        <v>270</v>
      </c>
      <c r="E47" s="964">
        <v>0</v>
      </c>
      <c r="F47" s="966"/>
      <c r="G47" s="964">
        <v>0</v>
      </c>
      <c r="H47" s="970"/>
      <c r="I47" s="971">
        <f>IF(G47="",0,(E47+G47)/2)</f>
        <v>0</v>
      </c>
    </row>
    <row r="48" spans="1:9" ht="16.5">
      <c r="A48" s="50">
        <f>+A47+1</f>
        <v>23</v>
      </c>
      <c r="C48" s="974" t="s">
        <v>317</v>
      </c>
      <c r="D48" s="965" t="s">
        <v>335</v>
      </c>
      <c r="E48" s="968">
        <v>0</v>
      </c>
      <c r="F48" s="966"/>
      <c r="G48" s="968">
        <v>0</v>
      </c>
      <c r="H48" s="970"/>
      <c r="I48" s="972">
        <f>IF(G48="",0,(E48+G48)/2)</f>
        <v>0</v>
      </c>
    </row>
    <row r="49" spans="1:9" ht="14.25">
      <c r="A49" s="50">
        <f>+A48+1</f>
        <v>24</v>
      </c>
      <c r="C49" s="974" t="s">
        <v>261</v>
      </c>
      <c r="D49" s="979" t="str">
        <f>"Ln "&amp;A47&amp;" - ln "&amp;A48&amp;""</f>
        <v>Ln 22 - ln 23</v>
      </c>
      <c r="E49" s="973">
        <f>+E47-E48</f>
        <v>0</v>
      </c>
      <c r="F49" s="966"/>
      <c r="G49" s="973">
        <f>+G47-G48</f>
        <v>0</v>
      </c>
      <c r="H49" s="970"/>
      <c r="I49" s="971">
        <f>+I47-I48</f>
        <v>0</v>
      </c>
    </row>
    <row r="50" spans="1:9" ht="14.25">
      <c r="A50" s="50">
        <f>+A49+1</f>
        <v>25</v>
      </c>
      <c r="C50" s="974" t="s">
        <v>311</v>
      </c>
      <c r="D50" s="979" t="str">
        <f>"WS B-1 - Actual Stmt. AF Ln. "&amp;'WS B-1 - Actual Stmt. AF'!A197&amp;" (Note 1)"</f>
        <v>WS B-1 - Actual Stmt. AF Ln. 20 (Note 1)</v>
      </c>
      <c r="E50" s="964">
        <v>0</v>
      </c>
      <c r="F50" s="966"/>
      <c r="G50" s="964">
        <v>0</v>
      </c>
      <c r="H50" s="970"/>
      <c r="I50" s="971">
        <f>IF(G50="",0,(E50+G50)/2)</f>
        <v>0</v>
      </c>
    </row>
    <row r="51" spans="1:4" ht="12.75">
      <c r="A51" s="50"/>
      <c r="C51" s="42"/>
      <c r="D51" s="42"/>
    </row>
    <row r="52" spans="1:4" ht="14.25">
      <c r="A52" s="975" t="s">
        <v>334</v>
      </c>
      <c r="B52" s="976" t="s">
        <v>417</v>
      </c>
      <c r="C52" s="976" t="s">
        <v>777</v>
      </c>
      <c r="D52" s="42"/>
    </row>
    <row r="53" spans="1:4" ht="14.25">
      <c r="A53" s="965"/>
      <c r="B53" s="977"/>
      <c r="C53" s="974" t="s">
        <v>778</v>
      </c>
      <c r="D53" s="42"/>
    </row>
    <row r="54" spans="1:4" ht="14.25">
      <c r="A54" s="965" t="s">
        <v>267</v>
      </c>
      <c r="B54" s="977" t="s">
        <v>268</v>
      </c>
      <c r="C54" s="974"/>
      <c r="D54" s="42"/>
    </row>
    <row r="55" spans="2:10" ht="12.75">
      <c r="B55" s="4"/>
      <c r="C55" s="4"/>
      <c r="D55" s="4"/>
      <c r="E55" s="4"/>
      <c r="F55" s="4"/>
      <c r="G55" s="4"/>
      <c r="H55" s="4"/>
      <c r="I55" s="4"/>
      <c r="J55" s="4"/>
    </row>
    <row r="56" spans="2:10" ht="12.75">
      <c r="B56" s="4"/>
      <c r="C56" s="4"/>
      <c r="D56" s="4"/>
      <c r="E56" s="4"/>
      <c r="F56" s="4"/>
      <c r="G56" s="4"/>
      <c r="H56" s="4"/>
      <c r="I56" s="4"/>
      <c r="J56" s="4"/>
    </row>
    <row r="57" spans="2:10" ht="12.75">
      <c r="B57" s="4"/>
      <c r="C57" s="4"/>
      <c r="D57" s="4"/>
      <c r="E57" s="4"/>
      <c r="F57" s="4"/>
      <c r="G57" s="4"/>
      <c r="H57" s="4"/>
      <c r="I57" s="4"/>
      <c r="J57" s="4"/>
    </row>
    <row r="58" spans="2:10" ht="12.75">
      <c r="B58" s="4"/>
      <c r="C58" s="4"/>
      <c r="D58" s="4"/>
      <c r="E58" s="4"/>
      <c r="F58" s="4"/>
      <c r="G58" s="4"/>
      <c r="H58" s="4"/>
      <c r="I58" s="4"/>
      <c r="J58" s="4"/>
    </row>
    <row r="59" spans="2:10" ht="12.75">
      <c r="B59" s="4"/>
      <c r="C59" s="4"/>
      <c r="D59" s="4"/>
      <c r="E59" s="4"/>
      <c r="F59" s="4"/>
      <c r="G59" s="4"/>
      <c r="H59" s="4"/>
      <c r="I59" s="4"/>
      <c r="J59" s="4"/>
    </row>
    <row r="60" spans="2:10" ht="12.75">
      <c r="B60" s="4"/>
      <c r="C60" s="4"/>
      <c r="D60" s="4"/>
      <c r="E60" s="4"/>
      <c r="F60" s="4"/>
      <c r="G60" s="4"/>
      <c r="H60" s="4"/>
      <c r="I60" s="4"/>
      <c r="J60" s="4"/>
    </row>
    <row r="61" spans="2:10" ht="12.75">
      <c r="B61" s="4"/>
      <c r="C61" s="4"/>
      <c r="D61" s="4"/>
      <c r="E61" s="4"/>
      <c r="F61" s="4"/>
      <c r="G61" s="4"/>
      <c r="H61" s="4"/>
      <c r="I61" s="4"/>
      <c r="J61" s="4"/>
    </row>
    <row r="62" spans="2:10" ht="12.75">
      <c r="B62" s="4"/>
      <c r="C62" s="4"/>
      <c r="D62" s="4"/>
      <c r="E62" s="4"/>
      <c r="F62" s="4"/>
      <c r="G62" s="4"/>
      <c r="H62" s="4"/>
      <c r="I62" s="4"/>
      <c r="J62" s="4"/>
    </row>
    <row r="63" spans="2:10" ht="12.75">
      <c r="B63" s="4"/>
      <c r="C63" s="4"/>
      <c r="D63" s="4"/>
      <c r="E63" s="4"/>
      <c r="F63" s="4"/>
      <c r="G63" s="4"/>
      <c r="H63" s="4"/>
      <c r="I63" s="4"/>
      <c r="J63" s="4"/>
    </row>
    <row r="64" spans="2:10" ht="12.75">
      <c r="B64" s="4"/>
      <c r="C64" s="4"/>
      <c r="D64" s="4"/>
      <c r="E64" s="4"/>
      <c r="F64" s="4"/>
      <c r="G64" s="4"/>
      <c r="H64" s="4"/>
      <c r="I64" s="4"/>
      <c r="J64" s="4"/>
    </row>
    <row r="65" spans="2:10" ht="12.75">
      <c r="B65" s="4"/>
      <c r="C65" s="4"/>
      <c r="D65" s="4"/>
      <c r="E65" s="4"/>
      <c r="F65" s="4"/>
      <c r="G65" s="4"/>
      <c r="H65" s="4"/>
      <c r="I65" s="4"/>
      <c r="J65" s="4"/>
    </row>
    <row r="66" spans="2:10" ht="12.75">
      <c r="B66" s="4"/>
      <c r="C66" s="4"/>
      <c r="D66" s="4"/>
      <c r="E66" s="4"/>
      <c r="F66" s="4"/>
      <c r="G66" s="4"/>
      <c r="H66" s="4"/>
      <c r="I66" s="4"/>
      <c r="J66" s="4"/>
    </row>
    <row r="67" spans="2:10" ht="12.75">
      <c r="B67" s="4"/>
      <c r="C67" s="4"/>
      <c r="D67" s="4"/>
      <c r="E67" s="4"/>
      <c r="F67" s="4"/>
      <c r="G67" s="4"/>
      <c r="H67" s="4"/>
      <c r="I67" s="4"/>
      <c r="J67" s="4"/>
    </row>
    <row r="68" spans="2:10" ht="12.75">
      <c r="B68" s="4"/>
      <c r="C68" s="4"/>
      <c r="D68" s="4"/>
      <c r="E68" s="4"/>
      <c r="F68" s="4"/>
      <c r="G68" s="4"/>
      <c r="H68" s="4"/>
      <c r="I68" s="4"/>
      <c r="J68" s="4"/>
    </row>
    <row r="69" spans="2:10" ht="12.75">
      <c r="B69" s="4"/>
      <c r="C69" s="4"/>
      <c r="D69" s="4"/>
      <c r="E69" s="4"/>
      <c r="F69" s="4"/>
      <c r="G69" s="4"/>
      <c r="H69" s="4"/>
      <c r="I69" s="4"/>
      <c r="J69" s="4"/>
    </row>
    <row r="70" spans="2:10" ht="12.75">
      <c r="B70" s="4"/>
      <c r="C70" s="4"/>
      <c r="D70" s="4"/>
      <c r="E70" s="4"/>
      <c r="F70" s="4"/>
      <c r="G70" s="4"/>
      <c r="H70" s="4"/>
      <c r="I70" s="4"/>
      <c r="J70" s="4"/>
    </row>
    <row r="71" spans="2:10" ht="12.75">
      <c r="B71" s="4"/>
      <c r="C71" s="4"/>
      <c r="D71" s="4"/>
      <c r="E71" s="4"/>
      <c r="F71" s="4"/>
      <c r="G71" s="4"/>
      <c r="H71" s="4"/>
      <c r="I71" s="4"/>
      <c r="J71" s="4"/>
    </row>
    <row r="72" spans="2:10" ht="12.75">
      <c r="B72" s="4"/>
      <c r="C72" s="4"/>
      <c r="D72" s="4"/>
      <c r="E72" s="4"/>
      <c r="F72" s="4"/>
      <c r="G72" s="4"/>
      <c r="H72" s="4"/>
      <c r="I72" s="4"/>
      <c r="J72" s="4"/>
    </row>
    <row r="73" spans="2:10" ht="12.75">
      <c r="B73" s="4"/>
      <c r="C73" s="4"/>
      <c r="D73" s="4"/>
      <c r="E73" s="4"/>
      <c r="F73" s="4"/>
      <c r="G73" s="4"/>
      <c r="H73" s="4"/>
      <c r="I73" s="4"/>
      <c r="J73" s="4"/>
    </row>
    <row r="74" spans="2:10" ht="12.75">
      <c r="B74" s="4"/>
      <c r="C74" s="4"/>
      <c r="D74" s="4"/>
      <c r="E74" s="4"/>
      <c r="F74" s="4"/>
      <c r="G74" s="4"/>
      <c r="H74" s="4"/>
      <c r="I74" s="4"/>
      <c r="J74" s="4"/>
    </row>
    <row r="75" spans="2:10" ht="12.75">
      <c r="B75" s="4"/>
      <c r="C75" s="4"/>
      <c r="D75" s="4"/>
      <c r="E75" s="4"/>
      <c r="F75" s="4"/>
      <c r="G75" s="4"/>
      <c r="H75" s="4"/>
      <c r="I75" s="4"/>
      <c r="J75" s="4"/>
    </row>
    <row r="76" spans="2:10" ht="12.75">
      <c r="B76" s="4"/>
      <c r="C76" s="4"/>
      <c r="D76" s="4"/>
      <c r="E76" s="4"/>
      <c r="F76" s="4"/>
      <c r="G76" s="4"/>
      <c r="H76" s="4"/>
      <c r="I76" s="4"/>
      <c r="J76" s="4"/>
    </row>
    <row r="77" spans="2:10" ht="12.75">
      <c r="B77" s="4"/>
      <c r="C77" s="4"/>
      <c r="D77" s="4"/>
      <c r="E77" s="4"/>
      <c r="F77" s="4"/>
      <c r="G77" s="4"/>
      <c r="H77" s="4"/>
      <c r="I77" s="4"/>
      <c r="J77" s="4"/>
    </row>
    <row r="78" spans="2:10" ht="12.75">
      <c r="B78" s="4"/>
      <c r="C78" s="4"/>
      <c r="D78" s="4"/>
      <c r="E78" s="4"/>
      <c r="F78" s="4"/>
      <c r="G78" s="4"/>
      <c r="H78" s="4"/>
      <c r="I78" s="4"/>
      <c r="J78" s="4"/>
    </row>
    <row r="79" spans="2:10" ht="12.75">
      <c r="B79" s="4"/>
      <c r="C79" s="4"/>
      <c r="D79" s="4"/>
      <c r="E79" s="4"/>
      <c r="F79" s="4"/>
      <c r="G79" s="4"/>
      <c r="H79" s="4"/>
      <c r="I79" s="4"/>
      <c r="J79" s="4"/>
    </row>
    <row r="80" spans="2:10" ht="12.75">
      <c r="B80" s="4"/>
      <c r="C80" s="4"/>
      <c r="D80" s="4"/>
      <c r="E80" s="4"/>
      <c r="F80" s="4"/>
      <c r="G80" s="4"/>
      <c r="H80" s="4"/>
      <c r="I80" s="4"/>
      <c r="J80" s="4"/>
    </row>
    <row r="81" spans="2:10" ht="12.75">
      <c r="B81" s="4"/>
      <c r="C81" s="4"/>
      <c r="D81" s="4"/>
      <c r="E81" s="4"/>
      <c r="F81" s="4"/>
      <c r="G81" s="4"/>
      <c r="H81" s="4"/>
      <c r="I81" s="4"/>
      <c r="J81" s="4"/>
    </row>
    <row r="82" spans="2:10" ht="12.75">
      <c r="B82" s="4"/>
      <c r="C82" s="4"/>
      <c r="D82" s="4"/>
      <c r="E82" s="4"/>
      <c r="F82" s="4"/>
      <c r="G82" s="4"/>
      <c r="H82" s="4"/>
      <c r="I82" s="4"/>
      <c r="J82" s="4"/>
    </row>
    <row r="83" spans="2:10" ht="12.75">
      <c r="B83" s="4"/>
      <c r="C83" s="4"/>
      <c r="D83" s="4"/>
      <c r="E83" s="4"/>
      <c r="F83" s="4"/>
      <c r="G83" s="4"/>
      <c r="H83" s="4"/>
      <c r="I83" s="4"/>
      <c r="J83" s="4"/>
    </row>
    <row r="84" spans="2:10" ht="12.75">
      <c r="B84" s="4"/>
      <c r="C84" s="4"/>
      <c r="D84" s="4"/>
      <c r="E84" s="4"/>
      <c r="F84" s="4"/>
      <c r="G84" s="4"/>
      <c r="H84" s="4"/>
      <c r="I84" s="4"/>
      <c r="J84" s="4"/>
    </row>
    <row r="85" spans="2:10" ht="12.75">
      <c r="B85" s="4"/>
      <c r="C85" s="4"/>
      <c r="D85" s="4"/>
      <c r="E85" s="4"/>
      <c r="F85" s="4"/>
      <c r="G85" s="4"/>
      <c r="H85" s="4"/>
      <c r="I85" s="4"/>
      <c r="J85" s="4"/>
    </row>
    <row r="86" spans="2:10" ht="12.75">
      <c r="B86" s="4"/>
      <c r="C86" s="4"/>
      <c r="D86" s="4"/>
      <c r="E86" s="4"/>
      <c r="F86" s="4"/>
      <c r="G86" s="4"/>
      <c r="H86" s="4"/>
      <c r="I86" s="4"/>
      <c r="J86" s="4"/>
    </row>
    <row r="87" spans="2:10" ht="12.75">
      <c r="B87" s="4"/>
      <c r="C87" s="4"/>
      <c r="D87" s="4"/>
      <c r="E87" s="4"/>
      <c r="F87" s="4"/>
      <c r="G87" s="4"/>
      <c r="H87" s="4"/>
      <c r="I87" s="4"/>
      <c r="J87" s="4"/>
    </row>
    <row r="88" spans="2:10" ht="12.75">
      <c r="B88" s="4"/>
      <c r="C88" s="4"/>
      <c r="D88" s="4"/>
      <c r="E88" s="4"/>
      <c r="F88" s="4"/>
      <c r="G88" s="4"/>
      <c r="H88" s="4"/>
      <c r="I88" s="4"/>
      <c r="J88" s="4"/>
    </row>
    <row r="89" spans="2:10" ht="12.75">
      <c r="B89" s="4"/>
      <c r="C89" s="4"/>
      <c r="D89" s="4"/>
      <c r="E89" s="4"/>
      <c r="F89" s="4"/>
      <c r="G89" s="4"/>
      <c r="H89" s="4"/>
      <c r="I89" s="4"/>
      <c r="J89" s="4"/>
    </row>
    <row r="90" spans="2:10" ht="12.75">
      <c r="B90" s="4"/>
      <c r="C90" s="4"/>
      <c r="D90" s="4"/>
      <c r="E90" s="4"/>
      <c r="F90" s="4"/>
      <c r="G90" s="4"/>
      <c r="H90" s="4"/>
      <c r="I90" s="4"/>
      <c r="J90" s="4"/>
    </row>
    <row r="91" spans="2:10" ht="12.75">
      <c r="B91" s="4"/>
      <c r="C91" s="4"/>
      <c r="D91" s="4"/>
      <c r="E91" s="4"/>
      <c r="F91" s="4"/>
      <c r="G91" s="4"/>
      <c r="H91" s="4"/>
      <c r="I91" s="4"/>
      <c r="J91" s="4"/>
    </row>
    <row r="92" spans="2:10" ht="12.75">
      <c r="B92" s="4"/>
      <c r="C92" s="4"/>
      <c r="D92" s="4"/>
      <c r="E92" s="4"/>
      <c r="F92" s="4"/>
      <c r="G92" s="4"/>
      <c r="H92" s="4"/>
      <c r="I92" s="4"/>
      <c r="J92" s="4"/>
    </row>
    <row r="93" spans="2:10" ht="12.75">
      <c r="B93" s="4"/>
      <c r="C93" s="4"/>
      <c r="D93" s="4"/>
      <c r="E93" s="4"/>
      <c r="F93" s="4"/>
      <c r="G93" s="4"/>
      <c r="H93" s="4"/>
      <c r="I93" s="4"/>
      <c r="J93" s="4"/>
    </row>
    <row r="94" spans="2:10" ht="12.75">
      <c r="B94" s="4"/>
      <c r="C94" s="4"/>
      <c r="D94" s="4"/>
      <c r="E94" s="4"/>
      <c r="F94" s="4"/>
      <c r="G94" s="4"/>
      <c r="H94" s="4"/>
      <c r="I94" s="4"/>
      <c r="J94" s="4"/>
    </row>
    <row r="95" spans="2:10" ht="12.75">
      <c r="B95" s="4"/>
      <c r="C95" s="4"/>
      <c r="D95" s="4"/>
      <c r="E95" s="4"/>
      <c r="F95" s="4"/>
      <c r="G95" s="4"/>
      <c r="H95" s="4"/>
      <c r="I95" s="4"/>
      <c r="J95" s="4"/>
    </row>
    <row r="96" spans="2:10" ht="12.75">
      <c r="B96" s="4"/>
      <c r="C96" s="4"/>
      <c r="D96" s="4"/>
      <c r="E96" s="4"/>
      <c r="F96" s="4"/>
      <c r="G96" s="4"/>
      <c r="H96" s="4"/>
      <c r="I96" s="4"/>
      <c r="J96" s="4"/>
    </row>
    <row r="97" spans="2:10" ht="12.75">
      <c r="B97" s="4"/>
      <c r="C97" s="4"/>
      <c r="D97" s="4"/>
      <c r="E97" s="4"/>
      <c r="F97" s="4"/>
      <c r="G97" s="4"/>
      <c r="H97" s="4"/>
      <c r="I97" s="4"/>
      <c r="J97" s="4"/>
    </row>
    <row r="98" spans="2:10" ht="12.75">
      <c r="B98" s="4"/>
      <c r="C98" s="4"/>
      <c r="D98" s="4"/>
      <c r="E98" s="4"/>
      <c r="F98" s="4"/>
      <c r="G98" s="4"/>
      <c r="H98" s="4"/>
      <c r="I98" s="4"/>
      <c r="J98" s="4"/>
    </row>
    <row r="99" spans="2:10" ht="12.75">
      <c r="B99" s="4"/>
      <c r="C99" s="4"/>
      <c r="D99" s="4"/>
      <c r="E99" s="4"/>
      <c r="F99" s="4"/>
      <c r="G99" s="4"/>
      <c r="H99" s="4"/>
      <c r="I99" s="4"/>
      <c r="J99" s="4"/>
    </row>
    <row r="100" spans="2:10" ht="12.75">
      <c r="B100" s="4"/>
      <c r="C100" s="4"/>
      <c r="D100" s="4"/>
      <c r="E100" s="4"/>
      <c r="F100" s="4"/>
      <c r="G100" s="4"/>
      <c r="H100" s="4"/>
      <c r="I100" s="4"/>
      <c r="J100" s="4"/>
    </row>
    <row r="101" spans="2:10" ht="12.75">
      <c r="B101" s="4"/>
      <c r="C101" s="4"/>
      <c r="D101" s="4"/>
      <c r="E101" s="4"/>
      <c r="F101" s="4"/>
      <c r="G101" s="4"/>
      <c r="H101" s="4"/>
      <c r="I101" s="4"/>
      <c r="J101" s="4"/>
    </row>
    <row r="102" spans="2:10" ht="12.75">
      <c r="B102" s="4"/>
      <c r="C102" s="4"/>
      <c r="D102" s="4"/>
      <c r="E102" s="4"/>
      <c r="F102" s="4"/>
      <c r="G102" s="4"/>
      <c r="H102" s="4"/>
      <c r="I102" s="4"/>
      <c r="J102" s="4"/>
    </row>
    <row r="103" spans="2:10" ht="12.75">
      <c r="B103" s="4"/>
      <c r="C103" s="4"/>
      <c r="D103" s="4"/>
      <c r="E103" s="4"/>
      <c r="F103" s="4"/>
      <c r="G103" s="4"/>
      <c r="H103" s="4"/>
      <c r="I103" s="4"/>
      <c r="J103" s="4"/>
    </row>
    <row r="104" spans="2:10" ht="12.75">
      <c r="B104" s="4"/>
      <c r="C104" s="4"/>
      <c r="D104" s="4"/>
      <c r="E104" s="4"/>
      <c r="F104" s="4"/>
      <c r="G104" s="4"/>
      <c r="H104" s="4"/>
      <c r="I104" s="4"/>
      <c r="J104" s="4"/>
    </row>
    <row r="105" spans="2:10" ht="12.75">
      <c r="B105" s="4"/>
      <c r="C105" s="4"/>
      <c r="D105" s="4"/>
      <c r="E105" s="4"/>
      <c r="F105" s="4"/>
      <c r="G105" s="4"/>
      <c r="H105" s="4"/>
      <c r="I105" s="4"/>
      <c r="J105" s="4"/>
    </row>
    <row r="106" spans="2:10" ht="12.75">
      <c r="B106" s="4"/>
      <c r="C106" s="4"/>
      <c r="D106" s="4"/>
      <c r="E106" s="4"/>
      <c r="F106" s="4"/>
      <c r="G106" s="4"/>
      <c r="H106" s="4"/>
      <c r="I106" s="4"/>
      <c r="J106" s="4"/>
    </row>
    <row r="107" spans="2:10" ht="12.75">
      <c r="B107" s="4"/>
      <c r="C107" s="4"/>
      <c r="D107" s="4"/>
      <c r="E107" s="4"/>
      <c r="F107" s="4"/>
      <c r="G107" s="4"/>
      <c r="H107" s="4"/>
      <c r="I107" s="4"/>
      <c r="J107" s="4"/>
    </row>
    <row r="108" spans="2:10" ht="12.75">
      <c r="B108" s="4"/>
      <c r="C108" s="4"/>
      <c r="D108" s="4"/>
      <c r="E108" s="4"/>
      <c r="F108" s="4"/>
      <c r="G108" s="4"/>
      <c r="H108" s="4"/>
      <c r="I108" s="4"/>
      <c r="J108" s="4"/>
    </row>
    <row r="109" spans="2:10" ht="12.75">
      <c r="B109" s="4"/>
      <c r="C109" s="4"/>
      <c r="D109" s="4"/>
      <c r="E109" s="4"/>
      <c r="F109" s="4"/>
      <c r="G109" s="4"/>
      <c r="H109" s="4"/>
      <c r="I109" s="4"/>
      <c r="J109" s="4"/>
    </row>
    <row r="110" spans="2:10" ht="12.75">
      <c r="B110" s="4"/>
      <c r="C110" s="4"/>
      <c r="D110" s="4"/>
      <c r="E110" s="4"/>
      <c r="F110" s="4"/>
      <c r="G110" s="4"/>
      <c r="H110" s="4"/>
      <c r="I110" s="4"/>
      <c r="J110" s="4"/>
    </row>
    <row r="111" spans="2:10" ht="12.75">
      <c r="B111" s="4"/>
      <c r="C111" s="4"/>
      <c r="D111" s="4"/>
      <c r="E111" s="4"/>
      <c r="F111" s="4"/>
      <c r="G111" s="4"/>
      <c r="H111" s="4"/>
      <c r="I111" s="4"/>
      <c r="J111" s="4"/>
    </row>
    <row r="112" spans="2:10" ht="12.75">
      <c r="B112" s="4"/>
      <c r="C112" s="4"/>
      <c r="D112" s="4"/>
      <c r="E112" s="4"/>
      <c r="F112" s="4"/>
      <c r="G112" s="4"/>
      <c r="H112" s="4"/>
      <c r="I112" s="4"/>
      <c r="J112" s="4"/>
    </row>
    <row r="113" spans="2:10" ht="12.75">
      <c r="B113" s="4"/>
      <c r="C113" s="4"/>
      <c r="D113" s="4"/>
      <c r="E113" s="4"/>
      <c r="F113" s="4"/>
      <c r="G113" s="4"/>
      <c r="H113" s="4"/>
      <c r="I113" s="4"/>
      <c r="J113" s="4"/>
    </row>
    <row r="114" spans="2:10" ht="12.75">
      <c r="B114" s="4"/>
      <c r="C114" s="4"/>
      <c r="D114" s="4"/>
      <c r="E114" s="4"/>
      <c r="F114" s="4"/>
      <c r="G114" s="4"/>
      <c r="H114" s="4"/>
      <c r="I114" s="4"/>
      <c r="J114" s="4"/>
    </row>
    <row r="115" spans="2:10" ht="12.75">
      <c r="B115" s="4"/>
      <c r="C115" s="4"/>
      <c r="D115" s="4"/>
      <c r="E115" s="4"/>
      <c r="F115" s="4"/>
      <c r="G115" s="4"/>
      <c r="H115" s="4"/>
      <c r="I115" s="4"/>
      <c r="J115" s="4"/>
    </row>
    <row r="116" spans="2:10" ht="12.75">
      <c r="B116" s="4"/>
      <c r="C116" s="4"/>
      <c r="D116" s="4"/>
      <c r="E116" s="4"/>
      <c r="F116" s="4"/>
      <c r="G116" s="4"/>
      <c r="H116" s="4"/>
      <c r="I116" s="4"/>
      <c r="J116" s="4"/>
    </row>
    <row r="117" spans="2:10" ht="12.75">
      <c r="B117" s="4"/>
      <c r="C117" s="4"/>
      <c r="D117" s="4"/>
      <c r="E117" s="4"/>
      <c r="F117" s="4"/>
      <c r="G117" s="4"/>
      <c r="H117" s="4"/>
      <c r="I117" s="4"/>
      <c r="J117" s="4"/>
    </row>
    <row r="118" spans="2:10" ht="12.75">
      <c r="B118" s="4"/>
      <c r="C118" s="4"/>
      <c r="D118" s="4"/>
      <c r="E118" s="4"/>
      <c r="F118" s="4"/>
      <c r="G118" s="4"/>
      <c r="H118" s="4"/>
      <c r="I118" s="4"/>
      <c r="J118" s="4"/>
    </row>
    <row r="119" spans="2:10" ht="12.75">
      <c r="B119" s="4"/>
      <c r="C119" s="4"/>
      <c r="D119" s="4"/>
      <c r="E119" s="4"/>
      <c r="F119" s="4"/>
      <c r="G119" s="4"/>
      <c r="H119" s="4"/>
      <c r="I119" s="4"/>
      <c r="J119" s="4"/>
    </row>
    <row r="120" spans="2:10" ht="12.75">
      <c r="B120" s="4"/>
      <c r="C120" s="4"/>
      <c r="D120" s="4"/>
      <c r="E120" s="4"/>
      <c r="F120" s="4"/>
      <c r="G120" s="4"/>
      <c r="H120" s="4"/>
      <c r="I120" s="4"/>
      <c r="J120" s="4"/>
    </row>
    <row r="121" spans="2:10" ht="12.75">
      <c r="B121" s="4"/>
      <c r="C121" s="4"/>
      <c r="D121" s="4"/>
      <c r="E121" s="4"/>
      <c r="F121" s="4"/>
      <c r="G121" s="4"/>
      <c r="H121" s="4"/>
      <c r="I121" s="4"/>
      <c r="J121" s="4"/>
    </row>
    <row r="122" spans="2:10" ht="12.75">
      <c r="B122" s="4"/>
      <c r="C122" s="4"/>
      <c r="D122" s="4"/>
      <c r="E122" s="4"/>
      <c r="F122" s="4"/>
      <c r="G122" s="4"/>
      <c r="H122" s="4"/>
      <c r="I122" s="4"/>
      <c r="J122" s="4"/>
    </row>
    <row r="123" spans="2:10" ht="12.75">
      <c r="B123" s="4"/>
      <c r="C123" s="4"/>
      <c r="D123" s="4"/>
      <c r="E123" s="4"/>
      <c r="F123" s="4"/>
      <c r="G123" s="4"/>
      <c r="H123" s="4"/>
      <c r="I123" s="4"/>
      <c r="J123" s="4"/>
    </row>
    <row r="124" spans="2:10" ht="12.75">
      <c r="B124" s="4"/>
      <c r="C124" s="4"/>
      <c r="D124" s="4"/>
      <c r="E124" s="4"/>
      <c r="F124" s="4"/>
      <c r="G124" s="4"/>
      <c r="H124" s="4"/>
      <c r="I124" s="4"/>
      <c r="J124" s="4"/>
    </row>
    <row r="125" spans="2:10" ht="12.75">
      <c r="B125" s="4"/>
      <c r="C125" s="4"/>
      <c r="D125" s="4"/>
      <c r="E125" s="4"/>
      <c r="F125" s="4"/>
      <c r="G125" s="4"/>
      <c r="H125" s="4"/>
      <c r="I125" s="4"/>
      <c r="J125" s="4"/>
    </row>
    <row r="126" spans="2:10" ht="12.75">
      <c r="B126" s="4"/>
      <c r="C126" s="4"/>
      <c r="D126" s="4"/>
      <c r="E126" s="4"/>
      <c r="F126" s="4"/>
      <c r="G126" s="4"/>
      <c r="H126" s="4"/>
      <c r="I126" s="4"/>
      <c r="J126" s="4"/>
    </row>
    <row r="127" spans="2:10" ht="12.75">
      <c r="B127" s="4"/>
      <c r="C127" s="4"/>
      <c r="D127" s="4"/>
      <c r="E127" s="4"/>
      <c r="F127" s="4"/>
      <c r="G127" s="4"/>
      <c r="H127" s="4"/>
      <c r="I127" s="4"/>
      <c r="J127" s="4"/>
    </row>
    <row r="128" spans="2:10" ht="12.75">
      <c r="B128" s="4"/>
      <c r="C128" s="4"/>
      <c r="D128" s="4"/>
      <c r="E128" s="4"/>
      <c r="F128" s="4"/>
      <c r="G128" s="4"/>
      <c r="H128" s="4"/>
      <c r="I128" s="4"/>
      <c r="J128" s="4"/>
    </row>
    <row r="129" spans="2:10" ht="12.75">
      <c r="B129" s="4"/>
      <c r="C129" s="4"/>
      <c r="D129" s="4"/>
      <c r="E129" s="4"/>
      <c r="F129" s="4"/>
      <c r="G129" s="4"/>
      <c r="H129" s="4"/>
      <c r="I129" s="4"/>
      <c r="J129" s="4"/>
    </row>
    <row r="130" spans="2:10" ht="12.75">
      <c r="B130" s="4"/>
      <c r="C130" s="4"/>
      <c r="D130" s="4"/>
      <c r="E130" s="4"/>
      <c r="F130" s="4"/>
      <c r="G130" s="4"/>
      <c r="H130" s="4"/>
      <c r="I130" s="4"/>
      <c r="J130" s="4"/>
    </row>
    <row r="131" spans="2:10" ht="12.75">
      <c r="B131" s="4"/>
      <c r="C131" s="4"/>
      <c r="D131" s="4"/>
      <c r="E131" s="4"/>
      <c r="F131" s="4"/>
      <c r="G131" s="4"/>
      <c r="H131" s="4"/>
      <c r="I131" s="4"/>
      <c r="J131" s="4"/>
    </row>
    <row r="132" spans="2:10" ht="12.75">
      <c r="B132" s="4"/>
      <c r="C132" s="4"/>
      <c r="D132" s="4"/>
      <c r="E132" s="4"/>
      <c r="F132" s="4"/>
      <c r="G132" s="4"/>
      <c r="H132" s="4"/>
      <c r="I132" s="4"/>
      <c r="J132" s="4"/>
    </row>
    <row r="133" spans="2:10" ht="12.75">
      <c r="B133" s="4"/>
      <c r="C133" s="4"/>
      <c r="D133" s="4"/>
      <c r="E133" s="4"/>
      <c r="F133" s="4"/>
      <c r="G133" s="4"/>
      <c r="H133" s="4"/>
      <c r="I133" s="4"/>
      <c r="J133" s="4"/>
    </row>
    <row r="134" spans="2:10" ht="12.75">
      <c r="B134" s="4"/>
      <c r="C134" s="4"/>
      <c r="D134" s="4"/>
      <c r="E134" s="4"/>
      <c r="F134" s="4"/>
      <c r="G134" s="4"/>
      <c r="H134" s="4"/>
      <c r="I134" s="4"/>
      <c r="J134" s="4"/>
    </row>
    <row r="135" spans="2:10" ht="12.75">
      <c r="B135" s="4"/>
      <c r="C135" s="4"/>
      <c r="D135" s="4"/>
      <c r="E135" s="4"/>
      <c r="F135" s="4"/>
      <c r="G135" s="4"/>
      <c r="H135" s="4"/>
      <c r="I135" s="4"/>
      <c r="J135" s="4"/>
    </row>
    <row r="136" spans="2:10" ht="12.75">
      <c r="B136" s="4"/>
      <c r="C136" s="4"/>
      <c r="D136" s="4"/>
      <c r="E136" s="4"/>
      <c r="F136" s="4"/>
      <c r="G136" s="4"/>
      <c r="H136" s="4"/>
      <c r="I136" s="4"/>
      <c r="J136" s="4"/>
    </row>
    <row r="137" spans="2:10" ht="12.75">
      <c r="B137" s="4"/>
      <c r="C137" s="4"/>
      <c r="D137" s="4"/>
      <c r="E137" s="4"/>
      <c r="F137" s="4"/>
      <c r="G137" s="4"/>
      <c r="H137" s="4"/>
      <c r="I137" s="4"/>
      <c r="J137" s="4"/>
    </row>
    <row r="138" spans="2:10" ht="12.75">
      <c r="B138" s="4"/>
      <c r="C138" s="4"/>
      <c r="D138" s="4"/>
      <c r="E138" s="4"/>
      <c r="F138" s="4"/>
      <c r="G138" s="4"/>
      <c r="H138" s="4"/>
      <c r="I138" s="4"/>
      <c r="J138" s="4"/>
    </row>
    <row r="139" spans="2:10" ht="12.75">
      <c r="B139" s="4"/>
      <c r="C139" s="4"/>
      <c r="D139" s="4"/>
      <c r="E139" s="4"/>
      <c r="F139" s="4"/>
      <c r="G139" s="4"/>
      <c r="H139" s="4"/>
      <c r="I139" s="4"/>
      <c r="J139" s="4"/>
    </row>
    <row r="140" spans="2:10" ht="12.75">
      <c r="B140" s="4"/>
      <c r="C140" s="4"/>
      <c r="D140" s="4"/>
      <c r="E140" s="4"/>
      <c r="F140" s="4"/>
      <c r="G140" s="4"/>
      <c r="H140" s="4"/>
      <c r="I140" s="4"/>
      <c r="J140" s="4"/>
    </row>
    <row r="141" spans="2:10" ht="12.75">
      <c r="B141" s="4"/>
      <c r="C141" s="4"/>
      <c r="D141" s="4"/>
      <c r="E141" s="4"/>
      <c r="F141" s="4"/>
      <c r="G141" s="4"/>
      <c r="H141" s="4"/>
      <c r="I141" s="4"/>
      <c r="J141" s="4"/>
    </row>
    <row r="142" spans="2:10" ht="12.75">
      <c r="B142" s="4"/>
      <c r="C142" s="4"/>
      <c r="D142" s="4"/>
      <c r="E142" s="4"/>
      <c r="F142" s="4"/>
      <c r="G142" s="4"/>
      <c r="H142" s="4"/>
      <c r="I142" s="4"/>
      <c r="J142" s="4"/>
    </row>
    <row r="143" spans="2:10" ht="12.75">
      <c r="B143" s="4"/>
      <c r="C143" s="4"/>
      <c r="D143" s="4"/>
      <c r="E143" s="4"/>
      <c r="F143" s="4"/>
      <c r="G143" s="4"/>
      <c r="H143" s="4"/>
      <c r="I143" s="4"/>
      <c r="J143" s="4"/>
    </row>
    <row r="144" spans="2:10" ht="12.75">
      <c r="B144" s="4"/>
      <c r="C144" s="4"/>
      <c r="D144" s="4"/>
      <c r="E144" s="4"/>
      <c r="F144" s="4"/>
      <c r="G144" s="4"/>
      <c r="H144" s="4"/>
      <c r="I144" s="4"/>
      <c r="J144" s="4"/>
    </row>
    <row r="145" spans="2:10" ht="12.75">
      <c r="B145" s="4"/>
      <c r="C145" s="4"/>
      <c r="D145" s="4"/>
      <c r="E145" s="4"/>
      <c r="F145" s="4"/>
      <c r="G145" s="4"/>
      <c r="H145" s="4"/>
      <c r="I145" s="4"/>
      <c r="J145" s="4"/>
    </row>
    <row r="146" spans="2:10" ht="12.75">
      <c r="B146" s="4"/>
      <c r="C146" s="4"/>
      <c r="D146" s="4"/>
      <c r="E146" s="4"/>
      <c r="F146" s="4"/>
      <c r="G146" s="4"/>
      <c r="H146" s="4"/>
      <c r="I146" s="4"/>
      <c r="J146" s="4"/>
    </row>
    <row r="147" spans="2:10" ht="12.75">
      <c r="B147" s="4"/>
      <c r="C147" s="4"/>
      <c r="D147" s="4"/>
      <c r="E147" s="4"/>
      <c r="F147" s="4"/>
      <c r="G147" s="4"/>
      <c r="H147" s="4"/>
      <c r="I147" s="4"/>
      <c r="J147" s="4"/>
    </row>
    <row r="148" spans="2:10" ht="12.75">
      <c r="B148" s="4"/>
      <c r="C148" s="4"/>
      <c r="D148" s="4"/>
      <c r="E148" s="4"/>
      <c r="F148" s="4"/>
      <c r="G148" s="4"/>
      <c r="H148" s="4"/>
      <c r="I148" s="4"/>
      <c r="J148" s="4"/>
    </row>
    <row r="149" spans="2:10" ht="12.75">
      <c r="B149" s="4"/>
      <c r="C149" s="4"/>
      <c r="D149" s="4"/>
      <c r="E149" s="4"/>
      <c r="F149" s="4"/>
      <c r="G149" s="4"/>
      <c r="H149" s="4"/>
      <c r="I149" s="4"/>
      <c r="J149" s="4"/>
    </row>
    <row r="150" spans="2:10" ht="12.75">
      <c r="B150" s="4"/>
      <c r="C150" s="4"/>
      <c r="D150" s="4"/>
      <c r="E150" s="4"/>
      <c r="F150" s="4"/>
      <c r="G150" s="4"/>
      <c r="H150" s="4"/>
      <c r="I150" s="4"/>
      <c r="J150" s="4"/>
    </row>
    <row r="151" spans="2:10" ht="12.75">
      <c r="B151" s="4"/>
      <c r="C151" s="4"/>
      <c r="D151" s="4"/>
      <c r="E151" s="4"/>
      <c r="F151" s="4"/>
      <c r="G151" s="4"/>
      <c r="H151" s="4"/>
      <c r="I151" s="4"/>
      <c r="J151" s="4"/>
    </row>
    <row r="152" spans="2:10" ht="12.75">
      <c r="B152" s="4"/>
      <c r="C152" s="4"/>
      <c r="D152" s="4"/>
      <c r="E152" s="4"/>
      <c r="F152" s="4"/>
      <c r="G152" s="4"/>
      <c r="H152" s="4"/>
      <c r="I152" s="4"/>
      <c r="J152" s="4"/>
    </row>
    <row r="153" spans="2:10" ht="12.75">
      <c r="B153" s="4"/>
      <c r="C153" s="4"/>
      <c r="D153" s="4"/>
      <c r="E153" s="4"/>
      <c r="F153" s="4"/>
      <c r="G153" s="4"/>
      <c r="H153" s="4"/>
      <c r="I153" s="4"/>
      <c r="J153" s="4"/>
    </row>
    <row r="154" spans="2:10" ht="12.75">
      <c r="B154" s="4"/>
      <c r="C154" s="4"/>
      <c r="D154" s="4"/>
      <c r="E154" s="4"/>
      <c r="F154" s="4"/>
      <c r="G154" s="4"/>
      <c r="H154" s="4"/>
      <c r="I154" s="4"/>
      <c r="J154" s="4"/>
    </row>
    <row r="155" spans="2:10" ht="12.75">
      <c r="B155" s="4"/>
      <c r="C155" s="4"/>
      <c r="D155" s="4"/>
      <c r="E155" s="4"/>
      <c r="F155" s="4"/>
      <c r="G155" s="4"/>
      <c r="H155" s="4"/>
      <c r="I155" s="4"/>
      <c r="J155" s="4"/>
    </row>
    <row r="156" spans="2:10" ht="12.75">
      <c r="B156" s="4"/>
      <c r="C156" s="4"/>
      <c r="D156" s="4"/>
      <c r="E156" s="4"/>
      <c r="F156" s="4"/>
      <c r="G156" s="4"/>
      <c r="H156" s="4"/>
      <c r="I156" s="4"/>
      <c r="J156" s="4"/>
    </row>
    <row r="157" spans="2:10" ht="12.75">
      <c r="B157" s="4"/>
      <c r="C157" s="4"/>
      <c r="D157" s="4"/>
      <c r="E157" s="4"/>
      <c r="F157" s="4"/>
      <c r="G157" s="4"/>
      <c r="H157" s="4"/>
      <c r="I157" s="4"/>
      <c r="J157" s="4"/>
    </row>
    <row r="158" spans="2:10" ht="12.75">
      <c r="B158" s="4"/>
      <c r="C158" s="4"/>
      <c r="D158" s="4"/>
      <c r="E158" s="4"/>
      <c r="F158" s="4"/>
      <c r="G158" s="4"/>
      <c r="H158" s="4"/>
      <c r="I158" s="4"/>
      <c r="J158" s="4"/>
    </row>
    <row r="159" spans="2:10" ht="12.75">
      <c r="B159" s="4"/>
      <c r="C159" s="4"/>
      <c r="D159" s="4"/>
      <c r="E159" s="4"/>
      <c r="F159" s="4"/>
      <c r="G159" s="4"/>
      <c r="H159" s="4"/>
      <c r="I159" s="4"/>
      <c r="J159" s="4"/>
    </row>
    <row r="160" spans="2:10" ht="12.75">
      <c r="B160" s="4"/>
      <c r="C160" s="4"/>
      <c r="D160" s="4"/>
      <c r="E160" s="4"/>
      <c r="F160" s="4"/>
      <c r="G160" s="4"/>
      <c r="H160" s="4"/>
      <c r="I160" s="4"/>
      <c r="J160" s="4"/>
    </row>
    <row r="161" spans="2:10" ht="12.75">
      <c r="B161" s="4"/>
      <c r="C161" s="4"/>
      <c r="D161" s="4"/>
      <c r="E161" s="4"/>
      <c r="F161" s="4"/>
      <c r="G161" s="4"/>
      <c r="H161" s="4"/>
      <c r="I161" s="4"/>
      <c r="J161" s="4"/>
    </row>
    <row r="162" spans="2:10" ht="12.75">
      <c r="B162" s="4"/>
      <c r="C162" s="4"/>
      <c r="D162" s="4"/>
      <c r="E162" s="4"/>
      <c r="F162" s="4"/>
      <c r="G162" s="4"/>
      <c r="H162" s="4"/>
      <c r="I162" s="4"/>
      <c r="J162" s="4"/>
    </row>
    <row r="163" spans="2:10" ht="12.75">
      <c r="B163" s="4"/>
      <c r="C163" s="4"/>
      <c r="D163" s="4"/>
      <c r="E163" s="4"/>
      <c r="F163" s="4"/>
      <c r="G163" s="4"/>
      <c r="H163" s="4"/>
      <c r="I163" s="4"/>
      <c r="J163" s="4"/>
    </row>
    <row r="164" spans="2:10" ht="12.75">
      <c r="B164" s="4"/>
      <c r="C164" s="4"/>
      <c r="D164" s="4"/>
      <c r="E164" s="4"/>
      <c r="F164" s="4"/>
      <c r="G164" s="4"/>
      <c r="H164" s="4"/>
      <c r="I164" s="4"/>
      <c r="J164" s="4"/>
    </row>
    <row r="165" spans="2:10" ht="12.75">
      <c r="B165" s="4"/>
      <c r="C165" s="4"/>
      <c r="D165" s="4"/>
      <c r="E165" s="4"/>
      <c r="F165" s="4"/>
      <c r="G165" s="4"/>
      <c r="H165" s="4"/>
      <c r="I165" s="4"/>
      <c r="J165" s="4"/>
    </row>
    <row r="166" spans="2:10" ht="12.75">
      <c r="B166" s="4"/>
      <c r="C166" s="4"/>
      <c r="D166" s="4"/>
      <c r="E166" s="4"/>
      <c r="F166" s="4"/>
      <c r="G166" s="4"/>
      <c r="H166" s="4"/>
      <c r="I166" s="4"/>
      <c r="J166" s="4"/>
    </row>
    <row r="167" spans="2:10" ht="12.75">
      <c r="B167" s="4"/>
      <c r="C167" s="4"/>
      <c r="D167" s="4"/>
      <c r="E167" s="4"/>
      <c r="F167" s="4"/>
      <c r="G167" s="4"/>
      <c r="H167" s="4"/>
      <c r="I167" s="4"/>
      <c r="J167" s="4"/>
    </row>
    <row r="168" spans="2:10" ht="12.75">
      <c r="B168" s="4"/>
      <c r="C168" s="4"/>
      <c r="D168" s="4"/>
      <c r="E168" s="4"/>
      <c r="F168" s="4"/>
      <c r="G168" s="4"/>
      <c r="H168" s="4"/>
      <c r="I168" s="4"/>
      <c r="J168" s="4"/>
    </row>
    <row r="169" spans="2:10" ht="12.75">
      <c r="B169" s="4"/>
      <c r="C169" s="4"/>
      <c r="D169" s="4"/>
      <c r="E169" s="4"/>
      <c r="F169" s="4"/>
      <c r="G169" s="4"/>
      <c r="H169" s="4"/>
      <c r="I169" s="4"/>
      <c r="J169" s="4"/>
    </row>
    <row r="170" spans="2:10" ht="12.75">
      <c r="B170" s="4"/>
      <c r="C170" s="4"/>
      <c r="D170" s="4"/>
      <c r="E170" s="4"/>
      <c r="F170" s="4"/>
      <c r="G170" s="4"/>
      <c r="H170" s="4"/>
      <c r="I170" s="4"/>
      <c r="J170" s="4"/>
    </row>
    <row r="171" spans="2:10" ht="12.75">
      <c r="B171" s="4"/>
      <c r="C171" s="4"/>
      <c r="D171" s="4"/>
      <c r="E171" s="4"/>
      <c r="F171" s="4"/>
      <c r="G171" s="4"/>
      <c r="H171" s="4"/>
      <c r="I171" s="4"/>
      <c r="J171" s="4"/>
    </row>
    <row r="172" spans="2:10" ht="12.75">
      <c r="B172" s="4"/>
      <c r="C172" s="4"/>
      <c r="D172" s="4"/>
      <c r="E172" s="4"/>
      <c r="F172" s="4"/>
      <c r="G172" s="4"/>
      <c r="H172" s="4"/>
      <c r="I172" s="4"/>
      <c r="J172" s="4"/>
    </row>
    <row r="173" spans="2:10" ht="12.75">
      <c r="B173" s="4"/>
      <c r="C173" s="4"/>
      <c r="D173" s="4"/>
      <c r="E173" s="4"/>
      <c r="F173" s="4"/>
      <c r="G173" s="4"/>
      <c r="H173" s="4"/>
      <c r="I173" s="4"/>
      <c r="J173" s="4"/>
    </row>
    <row r="174" spans="2:10" ht="12.75">
      <c r="B174" s="4"/>
      <c r="C174" s="4"/>
      <c r="D174" s="4"/>
      <c r="E174" s="4"/>
      <c r="F174" s="4"/>
      <c r="G174" s="4"/>
      <c r="H174" s="4"/>
      <c r="I174" s="4"/>
      <c r="J174" s="4"/>
    </row>
    <row r="175" spans="2:10" ht="12.75">
      <c r="B175" s="4"/>
      <c r="C175" s="4"/>
      <c r="D175" s="4"/>
      <c r="E175" s="4"/>
      <c r="F175" s="4"/>
      <c r="G175" s="4"/>
      <c r="H175" s="4"/>
      <c r="I175" s="4"/>
      <c r="J175" s="4"/>
    </row>
    <row r="176" spans="2:10" ht="12.75">
      <c r="B176" s="4"/>
      <c r="C176" s="4"/>
      <c r="D176" s="4"/>
      <c r="E176" s="4"/>
      <c r="F176" s="4"/>
      <c r="G176" s="4"/>
      <c r="H176" s="4"/>
      <c r="I176" s="4"/>
      <c r="J176" s="4"/>
    </row>
    <row r="177" spans="2:10" ht="12.75">
      <c r="B177" s="4"/>
      <c r="C177" s="4"/>
      <c r="D177" s="4"/>
      <c r="E177" s="4"/>
      <c r="F177" s="4"/>
      <c r="G177" s="4"/>
      <c r="H177" s="4"/>
      <c r="I177" s="4"/>
      <c r="J177" s="4"/>
    </row>
    <row r="178" spans="2:10" ht="12.75">
      <c r="B178" s="4"/>
      <c r="C178" s="4"/>
      <c r="D178" s="4"/>
      <c r="E178" s="4"/>
      <c r="F178" s="4"/>
      <c r="G178" s="4"/>
      <c r="H178" s="4"/>
      <c r="I178" s="4"/>
      <c r="J178" s="4"/>
    </row>
    <row r="179" spans="2:10" ht="12.75">
      <c r="B179" s="4"/>
      <c r="C179" s="4"/>
      <c r="D179" s="4"/>
      <c r="E179" s="4"/>
      <c r="F179" s="4"/>
      <c r="G179" s="4"/>
      <c r="H179" s="4"/>
      <c r="I179" s="4"/>
      <c r="J179" s="4"/>
    </row>
    <row r="180" spans="2:10" ht="12.75">
      <c r="B180" s="4"/>
      <c r="C180" s="4"/>
      <c r="D180" s="4"/>
      <c r="E180" s="4"/>
      <c r="F180" s="4"/>
      <c r="G180" s="4"/>
      <c r="H180" s="4"/>
      <c r="I180" s="4"/>
      <c r="J180" s="4"/>
    </row>
    <row r="181" spans="2:10" ht="12.75">
      <c r="B181" s="4"/>
      <c r="C181" s="4"/>
      <c r="D181" s="4"/>
      <c r="E181" s="4"/>
      <c r="F181" s="4"/>
      <c r="G181" s="4"/>
      <c r="H181" s="4"/>
      <c r="I181" s="4"/>
      <c r="J181" s="4"/>
    </row>
    <row r="182" spans="2:10" ht="12.75">
      <c r="B182" s="4"/>
      <c r="C182" s="4"/>
      <c r="D182" s="4"/>
      <c r="E182" s="4"/>
      <c r="F182" s="4"/>
      <c r="G182" s="4"/>
      <c r="H182" s="4"/>
      <c r="I182" s="4"/>
      <c r="J182" s="4"/>
    </row>
    <row r="183" spans="2:10" ht="12.75">
      <c r="B183" s="4"/>
      <c r="C183" s="4"/>
      <c r="D183" s="4"/>
      <c r="E183" s="4"/>
      <c r="F183" s="4"/>
      <c r="G183" s="4"/>
      <c r="H183" s="4"/>
      <c r="I183" s="4"/>
      <c r="J183" s="4"/>
    </row>
    <row r="184" spans="2:10" ht="12.75">
      <c r="B184" s="4"/>
      <c r="C184" s="4"/>
      <c r="D184" s="4"/>
      <c r="E184" s="4"/>
      <c r="F184" s="4"/>
      <c r="G184" s="4"/>
      <c r="H184" s="4"/>
      <c r="I184" s="4"/>
      <c r="J184" s="4"/>
    </row>
    <row r="185" spans="2:10" ht="12.75">
      <c r="B185" s="4"/>
      <c r="C185" s="4"/>
      <c r="D185" s="4"/>
      <c r="E185" s="4"/>
      <c r="F185" s="4"/>
      <c r="G185" s="4"/>
      <c r="H185" s="4"/>
      <c r="I185" s="4"/>
      <c r="J185" s="4"/>
    </row>
    <row r="186" spans="2:10" ht="12.75">
      <c r="B186" s="4"/>
      <c r="C186" s="4"/>
      <c r="D186" s="4"/>
      <c r="E186" s="4"/>
      <c r="F186" s="4"/>
      <c r="G186" s="4"/>
      <c r="H186" s="4"/>
      <c r="I186" s="4"/>
      <c r="J186" s="4"/>
    </row>
    <row r="187" spans="2:10" ht="14.25" customHeight="1">
      <c r="B187" s="4"/>
      <c r="C187" s="4"/>
      <c r="D187" s="4"/>
      <c r="E187" s="4"/>
      <c r="F187" s="4"/>
      <c r="G187" s="4"/>
      <c r="H187" s="4"/>
      <c r="I187" s="4"/>
      <c r="J187" s="4"/>
    </row>
    <row r="188" spans="2:10" ht="12.75" customHeight="1">
      <c r="B188" s="4"/>
      <c r="C188" s="4"/>
      <c r="D188" s="4"/>
      <c r="E188" s="4"/>
      <c r="F188" s="4"/>
      <c r="G188" s="4"/>
      <c r="H188" s="4"/>
      <c r="I188" s="4"/>
      <c r="J188" s="4"/>
    </row>
    <row r="189" spans="2:10" ht="12.7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 r="B203" s="4"/>
      <c r="C203" s="4"/>
      <c r="D203" s="4"/>
      <c r="E203" s="4"/>
      <c r="F203" s="4"/>
      <c r="G203" s="4"/>
      <c r="H203" s="4"/>
      <c r="I203" s="4"/>
      <c r="J203" s="4"/>
    </row>
    <row r="204" spans="2:10" ht="12.75">
      <c r="B204" s="4"/>
      <c r="C204" s="4"/>
      <c r="D204" s="4"/>
      <c r="E204" s="4"/>
      <c r="F204" s="4"/>
      <c r="G204" s="4"/>
      <c r="H204" s="4"/>
      <c r="I204" s="4"/>
      <c r="J204" s="4"/>
    </row>
    <row r="205" spans="2:10" ht="12.75">
      <c r="B205" s="4"/>
      <c r="C205" s="4"/>
      <c r="D205" s="4"/>
      <c r="E205" s="4"/>
      <c r="F205" s="4"/>
      <c r="G205" s="4"/>
      <c r="H205" s="4"/>
      <c r="I205" s="4"/>
      <c r="J205" s="4"/>
    </row>
    <row r="206" spans="2:10" ht="12.75">
      <c r="B206" s="4"/>
      <c r="C206" s="4"/>
      <c r="D206" s="4"/>
      <c r="E206" s="4"/>
      <c r="F206" s="4"/>
      <c r="G206" s="4"/>
      <c r="H206" s="4"/>
      <c r="I206" s="4"/>
      <c r="J206" s="4"/>
    </row>
    <row r="207" spans="2:10" ht="12.75">
      <c r="B207" s="4"/>
      <c r="C207" s="4"/>
      <c r="D207" s="4"/>
      <c r="E207" s="4"/>
      <c r="F207" s="4"/>
      <c r="G207" s="4"/>
      <c r="H207" s="4"/>
      <c r="I207" s="4"/>
      <c r="J207" s="4"/>
    </row>
    <row r="208" spans="2:10" ht="12.75">
      <c r="B208" s="4"/>
      <c r="C208" s="4"/>
      <c r="D208" s="4"/>
      <c r="E208" s="4"/>
      <c r="F208" s="4"/>
      <c r="G208" s="4"/>
      <c r="H208" s="4"/>
      <c r="I208" s="4"/>
      <c r="J208" s="4"/>
    </row>
    <row r="209" spans="2:10" ht="12.75">
      <c r="B209" s="4"/>
      <c r="C209" s="4"/>
      <c r="D209" s="4"/>
      <c r="E209" s="4"/>
      <c r="F209" s="4"/>
      <c r="G209" s="4"/>
      <c r="H209" s="4"/>
      <c r="I209" s="4"/>
      <c r="J209" s="4"/>
    </row>
    <row r="210" spans="2:10" ht="12.75">
      <c r="B210" s="4"/>
      <c r="C210" s="4"/>
      <c r="D210" s="4"/>
      <c r="E210" s="4"/>
      <c r="F210" s="4"/>
      <c r="G210" s="4"/>
      <c r="H210" s="4"/>
      <c r="I210" s="4"/>
      <c r="J210" s="4"/>
    </row>
    <row r="211" spans="2:10" ht="12.75">
      <c r="B211" s="4"/>
      <c r="C211" s="4"/>
      <c r="D211" s="4"/>
      <c r="E211" s="4"/>
      <c r="F211" s="4"/>
      <c r="G211" s="4"/>
      <c r="H211" s="4"/>
      <c r="I211" s="4"/>
      <c r="J211" s="4"/>
    </row>
    <row r="212" spans="2:10" ht="12.75">
      <c r="B212" s="4"/>
      <c r="C212" s="4"/>
      <c r="D212" s="4"/>
      <c r="E212" s="4"/>
      <c r="F212" s="4"/>
      <c r="G212" s="4"/>
      <c r="H212" s="4"/>
      <c r="I212" s="4"/>
      <c r="J212" s="4"/>
    </row>
    <row r="213" spans="2:10" ht="12.75">
      <c r="B213" s="4"/>
      <c r="C213" s="4"/>
      <c r="D213" s="4"/>
      <c r="E213" s="4"/>
      <c r="F213" s="4"/>
      <c r="G213" s="4"/>
      <c r="H213" s="4"/>
      <c r="I213" s="4"/>
      <c r="J213" s="4"/>
    </row>
    <row r="214" spans="2:10" ht="12.75">
      <c r="B214" s="4"/>
      <c r="C214" s="4"/>
      <c r="D214" s="4"/>
      <c r="E214" s="4"/>
      <c r="F214" s="4"/>
      <c r="G214" s="4"/>
      <c r="H214" s="4"/>
      <c r="I214" s="4"/>
      <c r="J214" s="4"/>
    </row>
    <row r="215" spans="2:10" ht="12.75">
      <c r="B215" s="4"/>
      <c r="C215" s="4"/>
      <c r="D215" s="4"/>
      <c r="E215" s="4"/>
      <c r="F215" s="4"/>
      <c r="G215" s="4"/>
      <c r="H215" s="4"/>
      <c r="I215" s="4"/>
      <c r="J215" s="4"/>
    </row>
    <row r="216" spans="2:10" ht="12.75">
      <c r="B216" s="4"/>
      <c r="C216" s="4"/>
      <c r="D216" s="4"/>
      <c r="E216" s="4"/>
      <c r="F216" s="4"/>
      <c r="G216" s="4"/>
      <c r="H216" s="4"/>
      <c r="I216" s="4"/>
      <c r="J216" s="4"/>
    </row>
    <row r="217" spans="2:10" ht="12.75">
      <c r="B217" s="4"/>
      <c r="C217" s="4"/>
      <c r="D217" s="4"/>
      <c r="E217" s="4"/>
      <c r="F217" s="4"/>
      <c r="G217" s="4"/>
      <c r="H217" s="4"/>
      <c r="I217" s="4"/>
      <c r="J217" s="4"/>
    </row>
    <row r="218" spans="2:10" ht="12.75">
      <c r="B218" s="4"/>
      <c r="C218" s="4"/>
      <c r="D218" s="4"/>
      <c r="E218" s="4"/>
      <c r="F218" s="4"/>
      <c r="G218" s="4"/>
      <c r="H218" s="4"/>
      <c r="I218" s="4"/>
      <c r="J218" s="4"/>
    </row>
    <row r="219" spans="2:10" ht="12.75">
      <c r="B219" s="4"/>
      <c r="C219" s="4"/>
      <c r="D219" s="4"/>
      <c r="E219" s="4"/>
      <c r="F219" s="4"/>
      <c r="G219" s="4"/>
      <c r="H219" s="4"/>
      <c r="I219" s="4"/>
      <c r="J219" s="4"/>
    </row>
    <row r="220" spans="2:10" ht="12.75">
      <c r="B220" s="4"/>
      <c r="C220" s="4"/>
      <c r="D220" s="4"/>
      <c r="E220" s="4"/>
      <c r="F220" s="4"/>
      <c r="G220" s="4"/>
      <c r="H220" s="4"/>
      <c r="I220" s="4"/>
      <c r="J220" s="4"/>
    </row>
  </sheetData>
  <sheetProtection/>
  <mergeCells count="7">
    <mergeCell ref="A1:I1"/>
    <mergeCell ref="A2:I2"/>
    <mergeCell ref="A3:I3"/>
    <mergeCell ref="E8:E9"/>
    <mergeCell ref="A4:I4"/>
    <mergeCell ref="G8:G9"/>
    <mergeCell ref="I8:I9"/>
  </mergeCells>
  <printOptions/>
  <pageMargins left="0.26" right="1.28" top="1" bottom="1" header="0.75" footer="0.5"/>
  <pageSetup fitToHeight="1" fitToWidth="1" horizontalDpi="600" verticalDpi="600" orientation="portrait" scale="54" r:id="rId1"/>
  <headerFooter alignWithMargins="0">
    <oddHeader>&amp;R&amp;"Arial,Bold"Formula Rate
 &amp;A
Page &amp;P of &amp;N</oddHeader>
  </headerFooter>
  <rowBreaks count="1" manualBreakCount="1">
    <brk id="59" max="255" man="1"/>
  </rowBreaks>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S197"/>
  <sheetViews>
    <sheetView view="pageBreakPreview" zoomScale="60" zoomScaleNormal="50" zoomScalePageLayoutView="0" workbookViewId="0" topLeftCell="A1">
      <selection activeCell="A1" sqref="A1"/>
    </sheetView>
  </sheetViews>
  <sheetFormatPr defaultColWidth="9.140625" defaultRowHeight="12.75"/>
  <cols>
    <col min="1" max="1" width="6.8515625" style="1007" customWidth="1"/>
    <col min="2" max="2" width="57.7109375" style="1006" bestFit="1" customWidth="1"/>
    <col min="3" max="4" width="14.8515625" style="1006" customWidth="1"/>
    <col min="5" max="6" width="14.28125" style="1006" customWidth="1"/>
    <col min="7" max="7" width="15.28125" style="1006" bestFit="1" customWidth="1"/>
    <col min="8" max="8" width="9.140625" style="1006" customWidth="1"/>
    <col min="9" max="9" width="13.140625" style="1006" bestFit="1" customWidth="1"/>
    <col min="10" max="10" width="15.00390625" style="1006" bestFit="1" customWidth="1"/>
    <col min="11" max="11" width="13.57421875" style="1006" bestFit="1" customWidth="1"/>
    <col min="12" max="12" width="9.140625" style="1006" customWidth="1"/>
    <col min="13" max="13" width="13.140625" style="1006" bestFit="1" customWidth="1"/>
    <col min="14" max="14" width="15.00390625" style="1006" bestFit="1" customWidth="1"/>
    <col min="15" max="15" width="13.57421875" style="1006" bestFit="1" customWidth="1"/>
    <col min="16" max="16" width="9.140625" style="1006" customWidth="1"/>
    <col min="17" max="17" width="13.140625" style="1006" bestFit="1" customWidth="1"/>
    <col min="18" max="18" width="15.00390625" style="1006" bestFit="1" customWidth="1"/>
    <col min="19" max="19" width="13.57421875" style="1006" bestFit="1" customWidth="1"/>
    <col min="20" max="16384" width="9.140625" style="1006" customWidth="1"/>
  </cols>
  <sheetData>
    <row r="1" spans="1:19" ht="12.75">
      <c r="A1" s="1033"/>
      <c r="B1" s="1056" t="str">
        <f>TCOS!F7</f>
        <v>AEP WEST VIRGINIA TRANSMISSION COMPANY</v>
      </c>
      <c r="C1" s="1017"/>
      <c r="D1" s="1017"/>
      <c r="E1" s="1017"/>
      <c r="F1" s="1017"/>
      <c r="G1" s="1014"/>
      <c r="H1" s="1014"/>
      <c r="I1" s="1014"/>
      <c r="J1" s="1014"/>
      <c r="K1" s="1014"/>
      <c r="L1" s="1014"/>
      <c r="M1" s="1017"/>
      <c r="N1" s="1017"/>
      <c r="O1" s="1017"/>
      <c r="P1" s="1017"/>
      <c r="Q1" s="1017"/>
      <c r="R1" s="1017"/>
      <c r="S1" s="1014"/>
    </row>
    <row r="2" spans="1:19" ht="12.75">
      <c r="A2" s="1033"/>
      <c r="B2" s="1016" t="s">
        <v>654</v>
      </c>
      <c r="C2" s="1017"/>
      <c r="D2" s="1017"/>
      <c r="E2" s="1017"/>
      <c r="F2" s="1017"/>
      <c r="G2" s="1014"/>
      <c r="H2" s="1014"/>
      <c r="I2" s="1014"/>
      <c r="J2" s="1014"/>
      <c r="K2" s="1014"/>
      <c r="L2" s="1014"/>
      <c r="M2" s="1017"/>
      <c r="N2" s="1017"/>
      <c r="O2" s="1017"/>
      <c r="P2" s="1017"/>
      <c r="Q2" s="1017"/>
      <c r="R2" s="1017"/>
      <c r="S2" s="1014"/>
    </row>
    <row r="3" spans="1:19" ht="12.75">
      <c r="A3" s="1033"/>
      <c r="B3" s="1049" t="str">
        <f>"PERIOD ENDED DECEMBER 31, "&amp;TCOS!L2</f>
        <v>PERIOD ENDED DECEMBER 31, 2017</v>
      </c>
      <c r="C3" s="1017"/>
      <c r="D3" s="1017"/>
      <c r="E3" s="1017"/>
      <c r="F3" s="1017"/>
      <c r="G3" s="1017"/>
      <c r="H3" s="1017"/>
      <c r="I3" s="1017"/>
      <c r="J3" s="1017"/>
      <c r="K3" s="1017"/>
      <c r="L3" s="1017"/>
      <c r="M3" s="1017"/>
      <c r="N3" s="1017"/>
      <c r="O3" s="1017"/>
      <c r="P3" s="1017"/>
      <c r="Q3" s="1017"/>
      <c r="R3" s="1017"/>
      <c r="S3" s="1017"/>
    </row>
    <row r="4" spans="1:19" ht="12.75">
      <c r="A4" s="1033"/>
      <c r="B4" s="1017"/>
      <c r="C4" s="1017"/>
      <c r="D4" s="1017"/>
      <c r="E4" s="1017"/>
      <c r="F4" s="1017"/>
      <c r="G4" s="1015" t="s">
        <v>655</v>
      </c>
      <c r="H4" s="1015"/>
      <c r="I4" s="1015"/>
      <c r="J4" s="1015"/>
      <c r="K4" s="1015"/>
      <c r="L4" s="1015"/>
      <c r="M4" s="1017"/>
      <c r="N4" s="1017"/>
      <c r="O4" s="1017"/>
      <c r="P4" s="1017"/>
      <c r="Q4" s="1017"/>
      <c r="R4" s="1017"/>
      <c r="S4" s="1017"/>
    </row>
    <row r="5" spans="1:19" ht="12.75">
      <c r="A5" s="1033"/>
      <c r="B5" s="1018"/>
      <c r="C5" s="1017"/>
      <c r="D5" s="1017"/>
      <c r="E5" s="1017"/>
      <c r="F5" s="1017"/>
      <c r="G5" s="1017"/>
      <c r="H5" s="1017"/>
      <c r="I5" s="1017"/>
      <c r="J5" s="1017"/>
      <c r="K5" s="1017"/>
      <c r="L5" s="1017"/>
      <c r="M5" s="1017"/>
      <c r="N5" s="1017"/>
      <c r="O5" s="1017"/>
      <c r="P5" s="1017"/>
      <c r="Q5" s="1017"/>
      <c r="R5" s="1017"/>
      <c r="S5" s="1017"/>
    </row>
    <row r="6" spans="1:19" ht="12.75">
      <c r="A6" s="1033"/>
      <c r="B6" s="1017"/>
      <c r="C6" s="1017"/>
      <c r="D6" s="1017"/>
      <c r="E6" s="1017"/>
      <c r="F6" s="1017"/>
      <c r="G6" s="1017"/>
      <c r="H6" s="1017"/>
      <c r="I6" s="1017"/>
      <c r="J6" s="1017"/>
      <c r="K6" s="1017"/>
      <c r="L6" s="1017"/>
      <c r="M6" s="1017"/>
      <c r="N6" s="1017"/>
      <c r="O6" s="1017"/>
      <c r="P6" s="1017"/>
      <c r="Q6" s="1017"/>
      <c r="R6" s="1017"/>
      <c r="S6" s="1017"/>
    </row>
    <row r="7" spans="1:19" ht="12.75">
      <c r="A7" s="1033"/>
      <c r="B7" s="1017"/>
      <c r="C7" s="1017"/>
      <c r="D7" s="1017"/>
      <c r="E7" s="1017"/>
      <c r="F7" s="1017"/>
      <c r="G7" s="1017"/>
      <c r="H7" s="1017"/>
      <c r="I7" s="1017"/>
      <c r="J7" s="1017"/>
      <c r="K7" s="1017"/>
      <c r="L7" s="1017"/>
      <c r="M7" s="1017"/>
      <c r="N7" s="1017"/>
      <c r="O7" s="1017"/>
      <c r="P7" s="1017"/>
      <c r="Q7" s="1017"/>
      <c r="R7" s="1017"/>
      <c r="S7" s="1017"/>
    </row>
    <row r="8" spans="1:19" ht="12.75">
      <c r="A8" s="1033"/>
      <c r="B8" s="1019" t="s">
        <v>656</v>
      </c>
      <c r="C8" s="1019" t="s">
        <v>657</v>
      </c>
      <c r="D8" s="1019" t="s">
        <v>658</v>
      </c>
      <c r="E8" s="1019" t="s">
        <v>659</v>
      </c>
      <c r="F8" s="1019" t="s">
        <v>660</v>
      </c>
      <c r="G8" s="1019" t="s">
        <v>661</v>
      </c>
      <c r="H8" s="1019"/>
      <c r="I8" s="1019" t="s">
        <v>662</v>
      </c>
      <c r="J8" s="1019" t="s">
        <v>663</v>
      </c>
      <c r="K8" s="1019" t="s">
        <v>664</v>
      </c>
      <c r="L8" s="1019"/>
      <c r="M8" s="1019" t="s">
        <v>665</v>
      </c>
      <c r="N8" s="1019" t="s">
        <v>666</v>
      </c>
      <c r="O8" s="1019" t="s">
        <v>667</v>
      </c>
      <c r="P8" s="1017"/>
      <c r="Q8" s="1019" t="s">
        <v>668</v>
      </c>
      <c r="R8" s="1019" t="s">
        <v>669</v>
      </c>
      <c r="S8" s="1019" t="s">
        <v>670</v>
      </c>
    </row>
    <row r="9" spans="1:19" ht="12.75">
      <c r="A9" s="1033"/>
      <c r="B9" s="1017"/>
      <c r="C9" s="1017"/>
      <c r="D9" s="1017"/>
      <c r="E9" s="1017"/>
      <c r="F9" s="1017"/>
      <c r="G9" s="1017"/>
      <c r="H9" s="1017"/>
      <c r="I9" s="1017"/>
      <c r="J9" s="1017"/>
      <c r="K9" s="1017"/>
      <c r="L9" s="1017"/>
      <c r="M9" s="1017"/>
      <c r="N9" s="1017"/>
      <c r="O9" s="1017"/>
      <c r="P9" s="1017"/>
      <c r="Q9" s="1017"/>
      <c r="R9" s="1017"/>
      <c r="S9" s="1017"/>
    </row>
    <row r="10" spans="1:19" ht="12.75">
      <c r="A10" s="1033"/>
      <c r="B10" s="1017"/>
      <c r="C10" s="1020" t="s">
        <v>671</v>
      </c>
      <c r="D10" s="1020"/>
      <c r="E10" s="1021" t="s">
        <v>672</v>
      </c>
      <c r="F10" s="1020"/>
      <c r="G10" s="1008" t="s">
        <v>673</v>
      </c>
      <c r="H10" s="1008"/>
      <c r="I10" s="1022" t="s">
        <v>674</v>
      </c>
      <c r="J10" s="1020"/>
      <c r="K10" s="1020"/>
      <c r="L10" s="1008"/>
      <c r="M10" s="1022" t="str">
        <f>"FUNCTIONALIZATION 12/31/"&amp;TCOS!L2-1</f>
        <v>FUNCTIONALIZATION 12/31/2016</v>
      </c>
      <c r="N10" s="1020"/>
      <c r="O10" s="1020"/>
      <c r="P10" s="1017"/>
      <c r="Q10" s="1022" t="str">
        <f>"FUNCTIONALIZATION 12/31/"&amp;TCOS!L2</f>
        <v>FUNCTIONALIZATION 12/31/2017</v>
      </c>
      <c r="R10" s="1020"/>
      <c r="S10" s="1020"/>
    </row>
    <row r="11" spans="1:19" ht="12.75">
      <c r="A11" s="1033"/>
      <c r="B11" s="1017"/>
      <c r="C11" s="1023"/>
      <c r="D11" s="1023"/>
      <c r="E11" s="1017"/>
      <c r="F11" s="1017"/>
      <c r="G11" s="1008" t="s">
        <v>675</v>
      </c>
      <c r="H11" s="1008"/>
      <c r="I11" s="1023"/>
      <c r="J11" s="1023"/>
      <c r="K11" s="1023"/>
      <c r="L11" s="1008"/>
      <c r="M11" s="1023"/>
      <c r="N11" s="1023"/>
      <c r="O11" s="1023"/>
      <c r="P11" s="1017"/>
      <c r="Q11" s="1023"/>
      <c r="R11" s="1023"/>
      <c r="S11" s="1023"/>
    </row>
    <row r="12" spans="1:19" s="1051" customFormat="1" ht="12.75">
      <c r="A12" s="1052"/>
      <c r="B12" s="1050"/>
      <c r="C12" s="1053" t="s">
        <v>676</v>
      </c>
      <c r="D12" s="1053" t="s">
        <v>676</v>
      </c>
      <c r="E12" s="1053" t="s">
        <v>676</v>
      </c>
      <c r="F12" s="1053" t="s">
        <v>676</v>
      </c>
      <c r="G12" s="1053" t="s">
        <v>677</v>
      </c>
      <c r="H12" s="1053"/>
      <c r="I12" s="1050"/>
      <c r="J12" s="1050"/>
      <c r="K12" s="1050"/>
      <c r="L12" s="1053"/>
      <c r="M12" s="1050"/>
      <c r="N12" s="1050"/>
      <c r="O12" s="1050"/>
      <c r="P12" s="1050"/>
      <c r="Q12" s="1050"/>
      <c r="R12" s="1050"/>
      <c r="S12" s="1050"/>
    </row>
    <row r="13" spans="1:19" s="1051" customFormat="1" ht="12.75">
      <c r="A13" s="1052"/>
      <c r="B13" s="1054" t="s">
        <v>678</v>
      </c>
      <c r="C13" s="1054" t="str">
        <f>"OF 12-31-"&amp;TCOS!L2-1</f>
        <v>OF 12-31-2016</v>
      </c>
      <c r="D13" s="1054" t="str">
        <f>"OF 12-31-"&amp;TCOS!L2</f>
        <v>OF 12-31-2017</v>
      </c>
      <c r="E13" s="1054" t="str">
        <f>"OF 12-31-"&amp;TCOS!L2-1</f>
        <v>OF 12-31-2016</v>
      </c>
      <c r="F13" s="1054" t="str">
        <f>"OF 12-31-"&amp;TCOS!L2</f>
        <v>OF 12-31-2017</v>
      </c>
      <c r="G13" s="1054" t="s">
        <v>679</v>
      </c>
      <c r="H13" s="1054"/>
      <c r="I13" s="1054" t="s">
        <v>680</v>
      </c>
      <c r="J13" s="1054" t="s">
        <v>681</v>
      </c>
      <c r="K13" s="1054" t="s">
        <v>682</v>
      </c>
      <c r="L13" s="1054"/>
      <c r="M13" s="1054" t="s">
        <v>680</v>
      </c>
      <c r="N13" s="1054" t="s">
        <v>681</v>
      </c>
      <c r="O13" s="1054" t="s">
        <v>682</v>
      </c>
      <c r="P13" s="1050"/>
      <c r="Q13" s="1054" t="s">
        <v>680</v>
      </c>
      <c r="R13" s="1054" t="s">
        <v>681</v>
      </c>
      <c r="S13" s="1054" t="s">
        <v>682</v>
      </c>
    </row>
    <row r="14" spans="1:19" ht="12.75">
      <c r="A14" s="1033"/>
      <c r="B14" s="1017"/>
      <c r="C14" s="1017"/>
      <c r="D14" s="1017"/>
      <c r="E14" s="1017"/>
      <c r="F14" s="1017"/>
      <c r="G14" s="1017"/>
      <c r="H14" s="1017"/>
      <c r="I14" s="1017"/>
      <c r="J14" s="1017"/>
      <c r="K14" s="1017"/>
      <c r="L14" s="1017"/>
      <c r="M14" s="1017"/>
      <c r="N14" s="1017"/>
      <c r="O14" s="1017"/>
      <c r="P14" s="1017"/>
      <c r="Q14" s="1017"/>
      <c r="R14" s="1017"/>
      <c r="S14" s="1017"/>
    </row>
    <row r="15" spans="1:19" ht="12.75">
      <c r="A15" s="1048">
        <v>1</v>
      </c>
      <c r="B15" s="1013" t="s">
        <v>683</v>
      </c>
      <c r="C15" s="1025"/>
      <c r="D15" s="1025"/>
      <c r="E15" s="1025"/>
      <c r="F15" s="1026"/>
      <c r="G15" s="1025"/>
      <c r="H15" s="1025"/>
      <c r="I15" s="1025"/>
      <c r="J15" s="1025"/>
      <c r="K15" s="1025"/>
      <c r="L15" s="1025"/>
      <c r="M15" s="1025"/>
      <c r="N15" s="1025"/>
      <c r="O15" s="1025"/>
      <c r="P15" s="1025"/>
      <c r="Q15" s="1025"/>
      <c r="R15" s="1025"/>
      <c r="S15" s="1025"/>
    </row>
    <row r="16" spans="1:19" ht="12.75">
      <c r="A16" s="1048">
        <v>2.01</v>
      </c>
      <c r="B16" s="1013"/>
      <c r="C16" s="1025"/>
      <c r="D16" s="1025"/>
      <c r="E16" s="1025"/>
      <c r="F16" s="1025"/>
      <c r="G16" s="1025"/>
      <c r="H16" s="1025"/>
      <c r="I16" s="1025"/>
      <c r="J16" s="1025"/>
      <c r="K16" s="1025"/>
      <c r="L16" s="1025"/>
      <c r="M16" s="1025"/>
      <c r="N16" s="1025"/>
      <c r="O16" s="1025"/>
      <c r="P16" s="1025"/>
      <c r="Q16" s="1025"/>
      <c r="R16" s="1025"/>
      <c r="S16" s="1025"/>
    </row>
    <row r="17" spans="1:19" ht="12.75">
      <c r="A17" s="1048">
        <v>2.02</v>
      </c>
      <c r="B17" s="1013"/>
      <c r="C17" s="1025">
        <f>SUM(M17:O17)</f>
        <v>0</v>
      </c>
      <c r="D17" s="1025">
        <f>SUM(Q17:S17)</f>
        <v>0</v>
      </c>
      <c r="E17" s="1025"/>
      <c r="F17" s="1025"/>
      <c r="G17" s="1025">
        <f>ROUND(SUM(C17:F17)/2,0)</f>
        <v>0</v>
      </c>
      <c r="H17" s="1025"/>
      <c r="I17" s="1025">
        <f>(M17+Q17)/2</f>
        <v>0</v>
      </c>
      <c r="J17" s="1025">
        <f>(N17+R17)/2</f>
        <v>0</v>
      </c>
      <c r="K17" s="1025">
        <f>(O17+S17)/2</f>
        <v>0</v>
      </c>
      <c r="L17" s="1025"/>
      <c r="M17" s="1013"/>
      <c r="N17" s="1013"/>
      <c r="O17" s="1013"/>
      <c r="P17" s="1025"/>
      <c r="Q17" s="1013"/>
      <c r="R17" s="1013"/>
      <c r="S17" s="1013"/>
    </row>
    <row r="18" spans="1:19" ht="12.75">
      <c r="A18" s="1048">
        <v>2.03</v>
      </c>
      <c r="B18" s="1013"/>
      <c r="C18" s="1025"/>
      <c r="D18" s="1025"/>
      <c r="E18" s="1025"/>
      <c r="F18" s="1025"/>
      <c r="G18" s="1025"/>
      <c r="H18" s="1025"/>
      <c r="I18" s="1025"/>
      <c r="J18" s="1025"/>
      <c r="K18" s="1025"/>
      <c r="L18" s="1025"/>
      <c r="M18" s="1025"/>
      <c r="N18" s="1025"/>
      <c r="O18" s="1025"/>
      <c r="P18" s="1025"/>
      <c r="Q18" s="1025"/>
      <c r="R18" s="1025"/>
      <c r="S18" s="1025"/>
    </row>
    <row r="19" spans="1:19" ht="12.75">
      <c r="A19" s="1048">
        <v>2.04</v>
      </c>
      <c r="B19" s="1013"/>
      <c r="C19" s="1025">
        <v>0</v>
      </c>
      <c r="D19" s="1025">
        <v>0</v>
      </c>
      <c r="E19" s="1025">
        <f aca="true" t="shared" si="0" ref="E19:F21">-C19</f>
        <v>0</v>
      </c>
      <c r="F19" s="1025">
        <f t="shared" si="0"/>
        <v>0</v>
      </c>
      <c r="G19" s="1025">
        <f>ROUND(SUM(C19:F19)/2,0)</f>
        <v>0</v>
      </c>
      <c r="H19" s="1025"/>
      <c r="I19" s="1025"/>
      <c r="J19" s="1025"/>
      <c r="K19" s="1025"/>
      <c r="L19" s="1025"/>
      <c r="M19" s="1025"/>
      <c r="N19" s="1025"/>
      <c r="O19" s="1025"/>
      <c r="P19" s="1025"/>
      <c r="Q19" s="1025"/>
      <c r="R19" s="1025"/>
      <c r="S19" s="1025"/>
    </row>
    <row r="20" spans="1:19" ht="12.75">
      <c r="A20" s="1048">
        <v>2.05</v>
      </c>
      <c r="B20" s="1013"/>
      <c r="C20" s="1025">
        <v>0</v>
      </c>
      <c r="D20" s="1025">
        <v>0</v>
      </c>
      <c r="E20" s="1025">
        <f t="shared" si="0"/>
        <v>0</v>
      </c>
      <c r="F20" s="1025">
        <f t="shared" si="0"/>
        <v>0</v>
      </c>
      <c r="G20" s="1025">
        <f>ROUND(SUM(C20:F20)/2,0)</f>
        <v>0</v>
      </c>
      <c r="H20" s="1025"/>
      <c r="I20" s="1025"/>
      <c r="J20" s="1025"/>
      <c r="K20" s="1025"/>
      <c r="L20" s="1025"/>
      <c r="M20" s="1025"/>
      <c r="N20" s="1025"/>
      <c r="O20" s="1025"/>
      <c r="P20" s="1025"/>
      <c r="Q20" s="1025"/>
      <c r="R20" s="1025"/>
      <c r="S20" s="1025"/>
    </row>
    <row r="21" spans="1:19" ht="12.75">
      <c r="A21" s="1048">
        <v>2.06</v>
      </c>
      <c r="B21" s="1013"/>
      <c r="C21" s="1025">
        <v>0</v>
      </c>
      <c r="D21" s="1025">
        <v>0</v>
      </c>
      <c r="E21" s="1025">
        <f t="shared" si="0"/>
        <v>0</v>
      </c>
      <c r="F21" s="1025">
        <f t="shared" si="0"/>
        <v>0</v>
      </c>
      <c r="G21" s="1025">
        <f>ROUND(SUM(C21:F21)/2,0)</f>
        <v>0</v>
      </c>
      <c r="H21" s="1025"/>
      <c r="I21" s="1025"/>
      <c r="J21" s="1025"/>
      <c r="K21" s="1025"/>
      <c r="L21" s="1025"/>
      <c r="M21" s="1025"/>
      <c r="N21" s="1025"/>
      <c r="O21" s="1025"/>
      <c r="P21" s="1025"/>
      <c r="Q21" s="1025"/>
      <c r="R21" s="1025"/>
      <c r="S21" s="1025"/>
    </row>
    <row r="22" spans="1:19" ht="12.75">
      <c r="A22" s="1034"/>
      <c r="B22" s="1017"/>
      <c r="C22" s="1025"/>
      <c r="D22" s="1025"/>
      <c r="E22" s="1025"/>
      <c r="F22" s="1025"/>
      <c r="G22" s="1025"/>
      <c r="H22" s="1025"/>
      <c r="I22" s="1025"/>
      <c r="J22" s="1025"/>
      <c r="K22" s="1025"/>
      <c r="L22" s="1025"/>
      <c r="M22" s="1025"/>
      <c r="N22" s="1025"/>
      <c r="O22" s="1025"/>
      <c r="P22" s="1025"/>
      <c r="Q22" s="1025"/>
      <c r="R22" s="1025"/>
      <c r="S22" s="1025"/>
    </row>
    <row r="23" spans="1:19" ht="13.5" thickBot="1">
      <c r="A23" s="1034">
        <v>3</v>
      </c>
      <c r="B23" s="1014" t="s">
        <v>684</v>
      </c>
      <c r="C23" s="1027">
        <f>SUM(C17:C22)</f>
        <v>0</v>
      </c>
      <c r="D23" s="1027">
        <f>SUM(D17:D22)</f>
        <v>0</v>
      </c>
      <c r="E23" s="1027">
        <f>SUM(E17:E22)</f>
        <v>0</v>
      </c>
      <c r="F23" s="1027">
        <f>SUM(F17:F22)</f>
        <v>0</v>
      </c>
      <c r="G23" s="1027">
        <f>SUM(G17:G22)</f>
        <v>0</v>
      </c>
      <c r="H23" s="1025"/>
      <c r="I23" s="1027">
        <f>SUM(I17:I22)</f>
        <v>0</v>
      </c>
      <c r="J23" s="1027">
        <f>SUM(J17:J22)</f>
        <v>0</v>
      </c>
      <c r="K23" s="1027">
        <f>SUM(K17:K22)</f>
        <v>0</v>
      </c>
      <c r="L23" s="1025"/>
      <c r="M23" s="1027">
        <f>SUM(M17:M22)</f>
        <v>0</v>
      </c>
      <c r="N23" s="1027">
        <f>SUM(N17:N22)</f>
        <v>0</v>
      </c>
      <c r="O23" s="1027">
        <f>SUM(O17:O22)</f>
        <v>0</v>
      </c>
      <c r="P23" s="1025"/>
      <c r="Q23" s="1027">
        <f>SUM(Q17:Q22)</f>
        <v>0</v>
      </c>
      <c r="R23" s="1027">
        <f>SUM(R17:R22)</f>
        <v>0</v>
      </c>
      <c r="S23" s="1027">
        <f>SUM(S17:S22)</f>
        <v>0</v>
      </c>
    </row>
    <row r="24" spans="1:19" ht="13.5" thickTop="1">
      <c r="A24" s="1034">
        <f>A23+1</f>
        <v>4</v>
      </c>
      <c r="B24" s="1017" t="s">
        <v>685</v>
      </c>
      <c r="C24" s="1045">
        <v>0</v>
      </c>
      <c r="D24" s="1045">
        <v>0</v>
      </c>
      <c r="E24" s="1045">
        <v>0</v>
      </c>
      <c r="F24" s="1045">
        <v>0</v>
      </c>
      <c r="G24" s="1045">
        <v>0</v>
      </c>
      <c r="H24" s="1046"/>
      <c r="I24" s="1045">
        <v>0</v>
      </c>
      <c r="J24" s="1045">
        <v>0</v>
      </c>
      <c r="K24" s="1045">
        <v>0</v>
      </c>
      <c r="L24" s="1046"/>
      <c r="M24" s="1045">
        <v>0</v>
      </c>
      <c r="N24" s="1045">
        <v>0</v>
      </c>
      <c r="O24" s="1045">
        <v>0</v>
      </c>
      <c r="P24" s="1046"/>
      <c r="Q24" s="1045">
        <v>0</v>
      </c>
      <c r="R24" s="1045">
        <v>0</v>
      </c>
      <c r="S24" s="1045">
        <v>0</v>
      </c>
    </row>
    <row r="25" spans="1:19" ht="12.75">
      <c r="A25" s="1034"/>
      <c r="B25" s="1017"/>
      <c r="C25" s="1025"/>
      <c r="D25" s="1025"/>
      <c r="E25" s="1025"/>
      <c r="F25" s="1025"/>
      <c r="G25" s="1025"/>
      <c r="H25" s="1025"/>
      <c r="I25" s="1025"/>
      <c r="J25" s="1025"/>
      <c r="K25" s="1025"/>
      <c r="L25" s="1025"/>
      <c r="M25" s="1025"/>
      <c r="N25" s="1025"/>
      <c r="O25" s="1025"/>
      <c r="P25" s="1025"/>
      <c r="Q25" s="1025"/>
      <c r="R25" s="1025"/>
      <c r="S25" s="1025"/>
    </row>
    <row r="26" spans="1:19" ht="12.75">
      <c r="A26" s="1034">
        <v>5</v>
      </c>
      <c r="B26" s="1014" t="s">
        <v>686</v>
      </c>
      <c r="C26" s="1025"/>
      <c r="D26" s="1025"/>
      <c r="E26" s="1025"/>
      <c r="F26" s="1025"/>
      <c r="G26" s="1025"/>
      <c r="H26" s="1025"/>
      <c r="I26" s="1025"/>
      <c r="J26" s="1025"/>
      <c r="K26" s="1025"/>
      <c r="L26" s="1025"/>
      <c r="M26" s="1025"/>
      <c r="N26" s="1025"/>
      <c r="O26" s="1025"/>
      <c r="P26" s="1025"/>
      <c r="Q26" s="1025"/>
      <c r="R26" s="1025"/>
      <c r="S26" s="1025"/>
    </row>
    <row r="27" spans="1:19" ht="12.75">
      <c r="A27" s="1047"/>
      <c r="B27" s="1017"/>
      <c r="C27" s="1025"/>
      <c r="D27" s="1025"/>
      <c r="E27" s="1025"/>
      <c r="F27" s="1025"/>
      <c r="G27" s="1025"/>
      <c r="H27" s="1025"/>
      <c r="I27" s="1025"/>
      <c r="J27" s="1025"/>
      <c r="K27" s="1025"/>
      <c r="L27" s="1025"/>
      <c r="M27" s="1025"/>
      <c r="N27" s="1025"/>
      <c r="O27" s="1025"/>
      <c r="P27" s="1025"/>
      <c r="Q27" s="1025"/>
      <c r="R27" s="1025"/>
      <c r="S27" s="1025"/>
    </row>
    <row r="28" spans="1:19" ht="12.75">
      <c r="A28" s="1048">
        <v>5.01</v>
      </c>
      <c r="B28" s="1013" t="s">
        <v>924</v>
      </c>
      <c r="C28" s="1025">
        <v>105078896</v>
      </c>
      <c r="D28" s="1025">
        <v>145083680</v>
      </c>
      <c r="E28" s="1025"/>
      <c r="F28" s="1025"/>
      <c r="G28" s="1025">
        <f aca="true" t="shared" si="1" ref="G28:G50">ROUND(SUM(C28:F28)/2,0)</f>
        <v>125081288</v>
      </c>
      <c r="H28" s="1025"/>
      <c r="I28" s="1025"/>
      <c r="J28" s="1025">
        <v>125081288</v>
      </c>
      <c r="K28" s="1025"/>
      <c r="L28" s="1025"/>
      <c r="M28" s="1013"/>
      <c r="N28" s="1013">
        <v>105078896</v>
      </c>
      <c r="O28" s="1013"/>
      <c r="P28" s="1025"/>
      <c r="Q28" s="1013"/>
      <c r="R28" s="1013">
        <v>145083680</v>
      </c>
      <c r="S28" s="1013"/>
    </row>
    <row r="29" spans="1:19" ht="12.75">
      <c r="A29" s="1048">
        <f>A28+0.01</f>
        <v>5.02</v>
      </c>
      <c r="B29" s="1013" t="s">
        <v>925</v>
      </c>
      <c r="C29" s="1025">
        <v>3.5</v>
      </c>
      <c r="D29" s="1025">
        <v>3.5</v>
      </c>
      <c r="E29" s="1025"/>
      <c r="F29" s="1025"/>
      <c r="G29" s="1025">
        <f t="shared" si="1"/>
        <v>4</v>
      </c>
      <c r="H29" s="1025"/>
      <c r="I29" s="1025"/>
      <c r="J29" s="1025">
        <v>3.5</v>
      </c>
      <c r="K29" s="1025"/>
      <c r="L29" s="1025"/>
      <c r="M29" s="1013"/>
      <c r="N29" s="1013">
        <v>3.5</v>
      </c>
      <c r="O29" s="1013"/>
      <c r="P29" s="1025"/>
      <c r="Q29" s="1013"/>
      <c r="R29" s="1013">
        <v>3.5</v>
      </c>
      <c r="S29" s="1013"/>
    </row>
    <row r="30" spans="1:19" ht="12.75">
      <c r="A30" s="1048">
        <f aca="true" t="shared" si="2" ref="A30:A68">A29+0.01</f>
        <v>5.029999999999999</v>
      </c>
      <c r="B30" s="1013" t="s">
        <v>926</v>
      </c>
      <c r="C30" s="1025">
        <v>0</v>
      </c>
      <c r="D30" s="1025">
        <v>1</v>
      </c>
      <c r="E30" s="1025"/>
      <c r="F30" s="1025"/>
      <c r="G30" s="1025">
        <f t="shared" si="1"/>
        <v>1</v>
      </c>
      <c r="H30" s="1025"/>
      <c r="I30" s="1025"/>
      <c r="J30" s="1025">
        <v>0.5</v>
      </c>
      <c r="K30" s="1025"/>
      <c r="L30" s="1025"/>
      <c r="M30" s="1055"/>
      <c r="N30" s="1055">
        <v>0</v>
      </c>
      <c r="O30" s="1013"/>
      <c r="P30" s="1025"/>
      <c r="Q30" s="1055"/>
      <c r="R30" s="1055">
        <v>1</v>
      </c>
      <c r="S30" s="1013"/>
    </row>
    <row r="31" spans="1:19" ht="12.75">
      <c r="A31" s="1048">
        <f t="shared" si="2"/>
        <v>5.039999999999999</v>
      </c>
      <c r="B31" s="1013" t="s">
        <v>927</v>
      </c>
      <c r="C31" s="1025">
        <v>1879793</v>
      </c>
      <c r="D31" s="1025">
        <v>2767734</v>
      </c>
      <c r="E31" s="1025"/>
      <c r="F31" s="1025"/>
      <c r="G31" s="1025">
        <f t="shared" si="1"/>
        <v>2323764</v>
      </c>
      <c r="H31" s="1025"/>
      <c r="I31" s="1025"/>
      <c r="J31" s="1025">
        <v>2323763.5</v>
      </c>
      <c r="K31" s="1025"/>
      <c r="L31" s="1025"/>
      <c r="M31" s="1013"/>
      <c r="N31" s="1013">
        <v>1879793</v>
      </c>
      <c r="O31" s="1013"/>
      <c r="P31" s="1025"/>
      <c r="Q31" s="1013"/>
      <c r="R31" s="1013">
        <v>2767734</v>
      </c>
      <c r="S31" s="1013"/>
    </row>
    <row r="32" spans="1:19" ht="12.75">
      <c r="A32" s="1048">
        <f t="shared" si="2"/>
        <v>5.049999999999999</v>
      </c>
      <c r="B32" s="1013" t="s">
        <v>928</v>
      </c>
      <c r="C32" s="1025">
        <v>-3772656</v>
      </c>
      <c r="D32" s="1025">
        <v>-5530219</v>
      </c>
      <c r="E32" s="1025"/>
      <c r="F32" s="1025"/>
      <c r="G32" s="1025">
        <f t="shared" si="1"/>
        <v>-4651438</v>
      </c>
      <c r="H32" s="1025"/>
      <c r="I32" s="1025"/>
      <c r="J32" s="1025">
        <v>-4651437.5</v>
      </c>
      <c r="K32" s="1025"/>
      <c r="L32" s="1025"/>
      <c r="M32" s="1013"/>
      <c r="N32" s="1013">
        <v>-3772656</v>
      </c>
      <c r="O32" s="1013"/>
      <c r="P32" s="1025"/>
      <c r="Q32" s="1013"/>
      <c r="R32" s="1013">
        <v>-5530219</v>
      </c>
      <c r="S32" s="1013"/>
    </row>
    <row r="33" spans="1:19" ht="12.75">
      <c r="A33" s="1048">
        <f t="shared" si="2"/>
        <v>5.059999999999999</v>
      </c>
      <c r="B33" s="1013" t="s">
        <v>929</v>
      </c>
      <c r="C33" s="1025">
        <v>0</v>
      </c>
      <c r="D33" s="1025">
        <v>-26250</v>
      </c>
      <c r="E33" s="1025"/>
      <c r="F33" s="1025"/>
      <c r="G33" s="1025">
        <f t="shared" si="1"/>
        <v>-13125</v>
      </c>
      <c r="H33" s="1025"/>
      <c r="I33" s="1025"/>
      <c r="J33" s="1025">
        <v>-13125</v>
      </c>
      <c r="K33" s="1025"/>
      <c r="L33" s="1025"/>
      <c r="M33" s="1013"/>
      <c r="N33" s="1013">
        <v>0</v>
      </c>
      <c r="O33" s="1013"/>
      <c r="P33" s="1025"/>
      <c r="Q33" s="1013"/>
      <c r="R33" s="1013">
        <v>-26250</v>
      </c>
      <c r="S33" s="1013"/>
    </row>
    <row r="34" spans="1:19" ht="12.75">
      <c r="A34" s="1048">
        <f t="shared" si="2"/>
        <v>5.0699999999999985</v>
      </c>
      <c r="B34" s="1013" t="s">
        <v>930</v>
      </c>
      <c r="C34" s="1029">
        <v>0</v>
      </c>
      <c r="D34" s="1029">
        <v>151547</v>
      </c>
      <c r="E34" s="1029"/>
      <c r="F34" s="1029"/>
      <c r="G34" s="1029">
        <f t="shared" si="1"/>
        <v>75774</v>
      </c>
      <c r="H34" s="1029"/>
      <c r="I34" s="1029"/>
      <c r="J34" s="1029">
        <v>75773.5</v>
      </c>
      <c r="K34" s="1029"/>
      <c r="L34" s="1029"/>
      <c r="M34" s="1013"/>
      <c r="N34" s="1055">
        <v>0</v>
      </c>
      <c r="O34" s="1013"/>
      <c r="P34" s="1025"/>
      <c r="Q34" s="1055"/>
      <c r="R34" s="1055">
        <v>151547</v>
      </c>
      <c r="S34" s="1013"/>
    </row>
    <row r="35" spans="1:19" ht="12.75">
      <c r="A35" s="1048">
        <f t="shared" si="2"/>
        <v>5.079999999999998</v>
      </c>
      <c r="B35" s="1013" t="s">
        <v>931</v>
      </c>
      <c r="C35" s="1029">
        <v>695643</v>
      </c>
      <c r="D35" s="1029">
        <v>1450297</v>
      </c>
      <c r="E35" s="1029"/>
      <c r="F35" s="1029"/>
      <c r="G35" s="1029">
        <f t="shared" si="1"/>
        <v>1072970</v>
      </c>
      <c r="H35" s="1029"/>
      <c r="I35" s="1029"/>
      <c r="J35" s="1029">
        <v>1072970</v>
      </c>
      <c r="K35" s="1029"/>
      <c r="L35" s="1029"/>
      <c r="M35" s="1013"/>
      <c r="N35" s="1013">
        <v>695643</v>
      </c>
      <c r="O35" s="1013"/>
      <c r="P35" s="1029"/>
      <c r="Q35" s="1013"/>
      <c r="R35" s="1013">
        <v>1450297</v>
      </c>
      <c r="S35" s="1013"/>
    </row>
    <row r="36" spans="1:19" ht="12.75">
      <c r="A36" s="1048">
        <f t="shared" si="2"/>
        <v>5.089999999999998</v>
      </c>
      <c r="B36" s="1013" t="s">
        <v>932</v>
      </c>
      <c r="C36" s="1025">
        <v>8750</v>
      </c>
      <c r="D36" s="1025">
        <v>-2800</v>
      </c>
      <c r="E36" s="1025"/>
      <c r="F36" s="1025"/>
      <c r="G36" s="1025">
        <f>ROUND(SUM(C36:F36)/2,0)</f>
        <v>2975</v>
      </c>
      <c r="H36" s="1025"/>
      <c r="I36" s="1025"/>
      <c r="J36" s="1025">
        <v>2975</v>
      </c>
      <c r="K36" s="1025"/>
      <c r="L36" s="1025"/>
      <c r="M36" s="1013"/>
      <c r="N36" s="1013">
        <v>8750</v>
      </c>
      <c r="O36" s="1013"/>
      <c r="P36" s="1025"/>
      <c r="Q36" s="1013"/>
      <c r="R36" s="1013">
        <v>-2800</v>
      </c>
      <c r="S36" s="1013"/>
    </row>
    <row r="37" spans="1:19" ht="12.75">
      <c r="A37" s="1048">
        <f t="shared" si="2"/>
        <v>5.099999999999998</v>
      </c>
      <c r="B37" s="1013" t="s">
        <v>933</v>
      </c>
      <c r="C37" s="1025">
        <v>0</v>
      </c>
      <c r="D37" s="1025">
        <v>0</v>
      </c>
      <c r="E37" s="1025">
        <v>0</v>
      </c>
      <c r="F37" s="1025">
        <v>0</v>
      </c>
      <c r="G37" s="1025">
        <f t="shared" si="1"/>
        <v>0</v>
      </c>
      <c r="H37" s="1025"/>
      <c r="I37" s="1025"/>
      <c r="J37" s="1025"/>
      <c r="K37" s="1025"/>
      <c r="L37" s="1025"/>
      <c r="M37" s="1013"/>
      <c r="N37" s="1013"/>
      <c r="O37" s="1013"/>
      <c r="P37" s="1025"/>
      <c r="Q37" s="1013"/>
      <c r="R37" s="1013"/>
      <c r="S37" s="1013"/>
    </row>
    <row r="38" spans="1:19" ht="12.75">
      <c r="A38" s="1048">
        <f t="shared" si="2"/>
        <v>5.109999999999998</v>
      </c>
      <c r="B38" s="1013" t="s">
        <v>934</v>
      </c>
      <c r="C38" s="1025">
        <v>8496404</v>
      </c>
      <c r="D38" s="1025">
        <v>6284185</v>
      </c>
      <c r="E38" s="1025">
        <v>-8496404</v>
      </c>
      <c r="F38" s="1025">
        <v>-6284185</v>
      </c>
      <c r="G38" s="1025">
        <f t="shared" si="1"/>
        <v>0</v>
      </c>
      <c r="H38" s="1025"/>
      <c r="I38" s="1025"/>
      <c r="J38" s="1025"/>
      <c r="K38" s="1025"/>
      <c r="L38" s="1025"/>
      <c r="M38" s="1013"/>
      <c r="N38" s="1013"/>
      <c r="O38" s="1013"/>
      <c r="P38" s="1025"/>
      <c r="Q38" s="1013"/>
      <c r="R38" s="1013"/>
      <c r="S38" s="1013"/>
    </row>
    <row r="39" spans="1:19" ht="12.75">
      <c r="A39" s="1048">
        <f t="shared" si="2"/>
        <v>5.119999999999997</v>
      </c>
      <c r="B39" s="1013" t="s">
        <v>935</v>
      </c>
      <c r="C39" s="1025">
        <v>0</v>
      </c>
      <c r="D39" s="1025">
        <v>-57557598</v>
      </c>
      <c r="E39" s="1025">
        <v>0</v>
      </c>
      <c r="F39" s="1025">
        <v>57557598</v>
      </c>
      <c r="G39" s="1025">
        <f t="shared" si="1"/>
        <v>0</v>
      </c>
      <c r="H39" s="1025"/>
      <c r="I39" s="1025"/>
      <c r="J39" s="1025"/>
      <c r="K39" s="1025"/>
      <c r="L39" s="1025"/>
      <c r="M39" s="1013"/>
      <c r="N39" s="1013"/>
      <c r="O39" s="1013"/>
      <c r="P39" s="1025"/>
      <c r="Q39" s="1013"/>
      <c r="R39" s="1013"/>
      <c r="S39" s="1013"/>
    </row>
    <row r="40" spans="1:19" ht="12.75">
      <c r="A40" s="1048">
        <f t="shared" si="2"/>
        <v>5.129999999999997</v>
      </c>
      <c r="B40" s="1013"/>
      <c r="C40" s="1025">
        <f aca="true" t="shared" si="3" ref="C40:C48">SUM(M40:O40)</f>
        <v>0</v>
      </c>
      <c r="D40" s="1025">
        <f aca="true" t="shared" si="4" ref="D40:D48">SUM(Q40:S40)</f>
        <v>0</v>
      </c>
      <c r="E40" s="1025"/>
      <c r="F40" s="1025"/>
      <c r="G40" s="1025">
        <f t="shared" si="1"/>
        <v>0</v>
      </c>
      <c r="H40" s="1025"/>
      <c r="I40" s="1025">
        <f aca="true" t="shared" si="5" ref="I40:K65">(M40+Q40)/2</f>
        <v>0</v>
      </c>
      <c r="J40" s="1025">
        <f t="shared" si="5"/>
        <v>0</v>
      </c>
      <c r="K40" s="1025">
        <f t="shared" si="5"/>
        <v>0</v>
      </c>
      <c r="L40" s="1025"/>
      <c r="M40" s="1013"/>
      <c r="N40" s="1013"/>
      <c r="O40" s="1013"/>
      <c r="P40" s="1025"/>
      <c r="Q40" s="1013"/>
      <c r="R40" s="1013"/>
      <c r="S40" s="1013"/>
    </row>
    <row r="41" spans="1:19" ht="12.75" hidden="1">
      <c r="A41" s="1048">
        <f t="shared" si="2"/>
        <v>5.139999999999997</v>
      </c>
      <c r="B41" s="1013"/>
      <c r="C41" s="1025">
        <f t="shared" si="3"/>
        <v>0</v>
      </c>
      <c r="D41" s="1025">
        <f t="shared" si="4"/>
        <v>0</v>
      </c>
      <c r="E41" s="1025"/>
      <c r="F41" s="1025"/>
      <c r="G41" s="1025">
        <f t="shared" si="1"/>
        <v>0</v>
      </c>
      <c r="H41" s="1025"/>
      <c r="I41" s="1025">
        <f t="shared" si="5"/>
        <v>0</v>
      </c>
      <c r="J41" s="1025">
        <f t="shared" si="5"/>
        <v>0</v>
      </c>
      <c r="K41" s="1025">
        <f t="shared" si="5"/>
        <v>0</v>
      </c>
      <c r="L41" s="1025"/>
      <c r="M41" s="1013"/>
      <c r="N41" s="1013"/>
      <c r="O41" s="1013"/>
      <c r="P41" s="1025"/>
      <c r="Q41" s="1013"/>
      <c r="R41" s="1013"/>
      <c r="S41" s="1013"/>
    </row>
    <row r="42" spans="1:19" ht="12.75" hidden="1">
      <c r="A42" s="1048">
        <f t="shared" si="2"/>
        <v>5.149999999999997</v>
      </c>
      <c r="B42" s="1013"/>
      <c r="C42" s="1025">
        <f t="shared" si="3"/>
        <v>0</v>
      </c>
      <c r="D42" s="1025">
        <f t="shared" si="4"/>
        <v>0</v>
      </c>
      <c r="E42" s="1025"/>
      <c r="F42" s="1025"/>
      <c r="G42" s="1025">
        <f t="shared" si="1"/>
        <v>0</v>
      </c>
      <c r="H42" s="1025"/>
      <c r="I42" s="1025">
        <f t="shared" si="5"/>
        <v>0</v>
      </c>
      <c r="J42" s="1025">
        <f t="shared" si="5"/>
        <v>0</v>
      </c>
      <c r="K42" s="1025">
        <f t="shared" si="5"/>
        <v>0</v>
      </c>
      <c r="L42" s="1025"/>
      <c r="M42" s="1013"/>
      <c r="N42" s="1013"/>
      <c r="O42" s="1013"/>
      <c r="P42" s="1025"/>
      <c r="Q42" s="1013"/>
      <c r="R42" s="1013"/>
      <c r="S42" s="1013"/>
    </row>
    <row r="43" spans="1:19" ht="12.75" hidden="1">
      <c r="A43" s="1048">
        <f t="shared" si="2"/>
        <v>5.159999999999997</v>
      </c>
      <c r="B43" s="1013"/>
      <c r="C43" s="1025">
        <f t="shared" si="3"/>
        <v>0</v>
      </c>
      <c r="D43" s="1025">
        <f t="shared" si="4"/>
        <v>0</v>
      </c>
      <c r="E43" s="1025"/>
      <c r="F43" s="1025"/>
      <c r="G43" s="1025">
        <f t="shared" si="1"/>
        <v>0</v>
      </c>
      <c r="H43" s="1025"/>
      <c r="I43" s="1025">
        <f t="shared" si="5"/>
        <v>0</v>
      </c>
      <c r="J43" s="1025">
        <f t="shared" si="5"/>
        <v>0</v>
      </c>
      <c r="K43" s="1025">
        <f t="shared" si="5"/>
        <v>0</v>
      </c>
      <c r="L43" s="1025"/>
      <c r="M43" s="1013"/>
      <c r="N43" s="1013"/>
      <c r="O43" s="1013"/>
      <c r="P43" s="1025"/>
      <c r="Q43" s="1013"/>
      <c r="R43" s="1013"/>
      <c r="S43" s="1013"/>
    </row>
    <row r="44" spans="1:19" ht="12.75" hidden="1">
      <c r="A44" s="1048">
        <f t="shared" si="2"/>
        <v>5.169999999999996</v>
      </c>
      <c r="B44" s="1013"/>
      <c r="C44" s="1025">
        <f t="shared" si="3"/>
        <v>0</v>
      </c>
      <c r="D44" s="1025">
        <f t="shared" si="4"/>
        <v>0</v>
      </c>
      <c r="E44" s="1025"/>
      <c r="F44" s="1025"/>
      <c r="G44" s="1025">
        <f t="shared" si="1"/>
        <v>0</v>
      </c>
      <c r="H44" s="1025"/>
      <c r="I44" s="1025">
        <f t="shared" si="5"/>
        <v>0</v>
      </c>
      <c r="J44" s="1025">
        <f t="shared" si="5"/>
        <v>0</v>
      </c>
      <c r="K44" s="1025">
        <f t="shared" si="5"/>
        <v>0</v>
      </c>
      <c r="L44" s="1025"/>
      <c r="M44" s="1013"/>
      <c r="N44" s="1013"/>
      <c r="O44" s="1013"/>
      <c r="P44" s="1025"/>
      <c r="Q44" s="1013"/>
      <c r="R44" s="1013"/>
      <c r="S44" s="1013"/>
    </row>
    <row r="45" spans="1:19" ht="12.75" hidden="1">
      <c r="A45" s="1048">
        <f t="shared" si="2"/>
        <v>5.179999999999996</v>
      </c>
      <c r="B45" s="1013"/>
      <c r="C45" s="1025">
        <f t="shared" si="3"/>
        <v>0</v>
      </c>
      <c r="D45" s="1025">
        <f t="shared" si="4"/>
        <v>0</v>
      </c>
      <c r="E45" s="1025"/>
      <c r="F45" s="1025"/>
      <c r="G45" s="1025">
        <f t="shared" si="1"/>
        <v>0</v>
      </c>
      <c r="H45" s="1025"/>
      <c r="I45" s="1025">
        <f t="shared" si="5"/>
        <v>0</v>
      </c>
      <c r="J45" s="1025">
        <f t="shared" si="5"/>
        <v>0</v>
      </c>
      <c r="K45" s="1025">
        <f t="shared" si="5"/>
        <v>0</v>
      </c>
      <c r="L45" s="1025"/>
      <c r="M45" s="1013"/>
      <c r="N45" s="1013"/>
      <c r="O45" s="1013"/>
      <c r="P45" s="1025"/>
      <c r="Q45" s="1013"/>
      <c r="R45" s="1013"/>
      <c r="S45" s="1013"/>
    </row>
    <row r="46" spans="1:19" ht="12.75" hidden="1">
      <c r="A46" s="1048">
        <f t="shared" si="2"/>
        <v>5.189999999999996</v>
      </c>
      <c r="B46" s="1013"/>
      <c r="C46" s="1025">
        <f t="shared" si="3"/>
        <v>0</v>
      </c>
      <c r="D46" s="1025">
        <f t="shared" si="4"/>
        <v>0</v>
      </c>
      <c r="E46" s="1025"/>
      <c r="F46" s="1025"/>
      <c r="G46" s="1025">
        <f t="shared" si="1"/>
        <v>0</v>
      </c>
      <c r="H46" s="1025"/>
      <c r="I46" s="1025">
        <f t="shared" si="5"/>
        <v>0</v>
      </c>
      <c r="J46" s="1025">
        <f t="shared" si="5"/>
        <v>0</v>
      </c>
      <c r="K46" s="1025">
        <f t="shared" si="5"/>
        <v>0</v>
      </c>
      <c r="L46" s="1025"/>
      <c r="M46" s="1013"/>
      <c r="N46" s="1013"/>
      <c r="O46" s="1013"/>
      <c r="P46" s="1025"/>
      <c r="Q46" s="1013"/>
      <c r="R46" s="1013"/>
      <c r="S46" s="1013"/>
    </row>
    <row r="47" spans="1:19" ht="12.75" hidden="1">
      <c r="A47" s="1048">
        <f t="shared" si="2"/>
        <v>5.199999999999996</v>
      </c>
      <c r="B47" s="1013"/>
      <c r="C47" s="1025">
        <f t="shared" si="3"/>
        <v>0</v>
      </c>
      <c r="D47" s="1025">
        <f t="shared" si="4"/>
        <v>0</v>
      </c>
      <c r="E47" s="1025"/>
      <c r="F47" s="1025"/>
      <c r="G47" s="1025">
        <f t="shared" si="1"/>
        <v>0</v>
      </c>
      <c r="H47" s="1025"/>
      <c r="I47" s="1025">
        <f t="shared" si="5"/>
        <v>0</v>
      </c>
      <c r="J47" s="1025">
        <f t="shared" si="5"/>
        <v>0</v>
      </c>
      <c r="K47" s="1025">
        <f t="shared" si="5"/>
        <v>0</v>
      </c>
      <c r="L47" s="1025"/>
      <c r="M47" s="1013"/>
      <c r="N47" s="1013"/>
      <c r="O47" s="1013"/>
      <c r="P47" s="1025"/>
      <c r="Q47" s="1013"/>
      <c r="R47" s="1013"/>
      <c r="S47" s="1013"/>
    </row>
    <row r="48" spans="1:19" ht="12.75" hidden="1">
      <c r="A48" s="1048">
        <f t="shared" si="2"/>
        <v>5.2099999999999955</v>
      </c>
      <c r="B48" s="1013"/>
      <c r="C48" s="1025">
        <f t="shared" si="3"/>
        <v>0</v>
      </c>
      <c r="D48" s="1025">
        <f t="shared" si="4"/>
        <v>0</v>
      </c>
      <c r="E48" s="1025"/>
      <c r="F48" s="1025"/>
      <c r="G48" s="1025">
        <f t="shared" si="1"/>
        <v>0</v>
      </c>
      <c r="H48" s="1025"/>
      <c r="I48" s="1025">
        <f t="shared" si="5"/>
        <v>0</v>
      </c>
      <c r="J48" s="1025">
        <f t="shared" si="5"/>
        <v>0</v>
      </c>
      <c r="K48" s="1025">
        <f t="shared" si="5"/>
        <v>0</v>
      </c>
      <c r="L48" s="1025"/>
      <c r="M48" s="1013"/>
      <c r="N48" s="1013"/>
      <c r="O48" s="1013"/>
      <c r="P48" s="1025"/>
      <c r="Q48" s="1013"/>
      <c r="R48" s="1013"/>
      <c r="S48" s="1013"/>
    </row>
    <row r="49" spans="1:19" ht="12.75" hidden="1">
      <c r="A49" s="1048">
        <f t="shared" si="2"/>
        <v>5.219999999999995</v>
      </c>
      <c r="B49" s="1013"/>
      <c r="C49" s="1025">
        <f aca="true" t="shared" si="6" ref="C49:C55">SUM(M49:O49)</f>
        <v>0</v>
      </c>
      <c r="D49" s="1025">
        <f aca="true" t="shared" si="7" ref="D49:D55">SUM(Q49:S49)</f>
        <v>0</v>
      </c>
      <c r="E49" s="1025"/>
      <c r="F49" s="1025"/>
      <c r="G49" s="1025">
        <f t="shared" si="1"/>
        <v>0</v>
      </c>
      <c r="H49" s="1025"/>
      <c r="I49" s="1025">
        <f t="shared" si="5"/>
        <v>0</v>
      </c>
      <c r="J49" s="1025">
        <f t="shared" si="5"/>
        <v>0</v>
      </c>
      <c r="K49" s="1025">
        <f t="shared" si="5"/>
        <v>0</v>
      </c>
      <c r="L49" s="1025"/>
      <c r="M49" s="1013"/>
      <c r="N49" s="1013"/>
      <c r="O49" s="1013"/>
      <c r="P49" s="1025"/>
      <c r="Q49" s="1013"/>
      <c r="R49" s="1013"/>
      <c r="S49" s="1013"/>
    </row>
    <row r="50" spans="1:19" ht="12.75" hidden="1">
      <c r="A50" s="1048">
        <f t="shared" si="2"/>
        <v>5.229999999999995</v>
      </c>
      <c r="B50" s="1013"/>
      <c r="C50" s="1025">
        <f t="shared" si="6"/>
        <v>0</v>
      </c>
      <c r="D50" s="1025">
        <f t="shared" si="7"/>
        <v>0</v>
      </c>
      <c r="E50" s="1025"/>
      <c r="F50" s="1025"/>
      <c r="G50" s="1025">
        <f t="shared" si="1"/>
        <v>0</v>
      </c>
      <c r="H50" s="1025"/>
      <c r="I50" s="1025">
        <f t="shared" si="5"/>
        <v>0</v>
      </c>
      <c r="J50" s="1025">
        <f t="shared" si="5"/>
        <v>0</v>
      </c>
      <c r="K50" s="1025">
        <f t="shared" si="5"/>
        <v>0</v>
      </c>
      <c r="L50" s="1025"/>
      <c r="M50" s="1013"/>
      <c r="N50" s="1013"/>
      <c r="O50" s="1013"/>
      <c r="P50" s="1025"/>
      <c r="Q50" s="1013"/>
      <c r="R50" s="1013"/>
      <c r="S50" s="1013"/>
    </row>
    <row r="51" spans="1:19" ht="12.75" hidden="1">
      <c r="A51" s="1048">
        <f t="shared" si="2"/>
        <v>5.239999999999995</v>
      </c>
      <c r="B51" s="1013"/>
      <c r="C51" s="1025">
        <f t="shared" si="6"/>
        <v>0</v>
      </c>
      <c r="D51" s="1025">
        <f t="shared" si="7"/>
        <v>0</v>
      </c>
      <c r="E51" s="1025"/>
      <c r="F51" s="1025"/>
      <c r="G51" s="1025">
        <f>ROUND(SUM(C51:F51)/2,0)</f>
        <v>0</v>
      </c>
      <c r="H51" s="1025"/>
      <c r="I51" s="1025">
        <f t="shared" si="5"/>
        <v>0</v>
      </c>
      <c r="J51" s="1025">
        <f t="shared" si="5"/>
        <v>0</v>
      </c>
      <c r="K51" s="1025">
        <f t="shared" si="5"/>
        <v>0</v>
      </c>
      <c r="L51" s="1025"/>
      <c r="M51" s="1013"/>
      <c r="N51" s="1013"/>
      <c r="O51" s="1013"/>
      <c r="P51" s="1025"/>
      <c r="Q51" s="1013"/>
      <c r="R51" s="1013"/>
      <c r="S51" s="1013"/>
    </row>
    <row r="52" spans="1:19" ht="12.75" hidden="1">
      <c r="A52" s="1048">
        <f t="shared" si="2"/>
        <v>5.249999999999995</v>
      </c>
      <c r="B52" s="1013"/>
      <c r="C52" s="1025">
        <f t="shared" si="6"/>
        <v>0</v>
      </c>
      <c r="D52" s="1025">
        <f t="shared" si="7"/>
        <v>0</v>
      </c>
      <c r="E52" s="1025"/>
      <c r="F52" s="1025"/>
      <c r="G52" s="1025">
        <f>ROUND(SUM(C52:F52)/2,0)</f>
        <v>0</v>
      </c>
      <c r="H52" s="1025"/>
      <c r="I52" s="1025">
        <f t="shared" si="5"/>
        <v>0</v>
      </c>
      <c r="J52" s="1025">
        <f t="shared" si="5"/>
        <v>0</v>
      </c>
      <c r="K52" s="1025">
        <f t="shared" si="5"/>
        <v>0</v>
      </c>
      <c r="L52" s="1025"/>
      <c r="M52" s="1013"/>
      <c r="N52" s="1013"/>
      <c r="O52" s="1013"/>
      <c r="P52" s="1025"/>
      <c r="Q52" s="1013"/>
      <c r="R52" s="1013"/>
      <c r="S52" s="1013"/>
    </row>
    <row r="53" spans="1:19" ht="12.75" hidden="1">
      <c r="A53" s="1048">
        <f t="shared" si="2"/>
        <v>5.2599999999999945</v>
      </c>
      <c r="B53" s="1013"/>
      <c r="C53" s="1025">
        <f t="shared" si="6"/>
        <v>0</v>
      </c>
      <c r="D53" s="1025">
        <f t="shared" si="7"/>
        <v>0</v>
      </c>
      <c r="E53" s="1025"/>
      <c r="F53" s="1025"/>
      <c r="G53" s="1025">
        <f>ROUND(SUM(C53:F53)/2,0)</f>
        <v>0</v>
      </c>
      <c r="H53" s="1025"/>
      <c r="I53" s="1025">
        <f t="shared" si="5"/>
        <v>0</v>
      </c>
      <c r="J53" s="1025">
        <f t="shared" si="5"/>
        <v>0</v>
      </c>
      <c r="K53" s="1025">
        <f t="shared" si="5"/>
        <v>0</v>
      </c>
      <c r="L53" s="1025"/>
      <c r="M53" s="1013"/>
      <c r="N53" s="1013"/>
      <c r="O53" s="1013"/>
      <c r="P53" s="1025"/>
      <c r="Q53" s="1013"/>
      <c r="R53" s="1013"/>
      <c r="S53" s="1013"/>
    </row>
    <row r="54" spans="1:19" ht="12.75" hidden="1">
      <c r="A54" s="1048">
        <f t="shared" si="2"/>
        <v>5.269999999999994</v>
      </c>
      <c r="B54" s="1013"/>
      <c r="C54" s="1025">
        <f t="shared" si="6"/>
        <v>0</v>
      </c>
      <c r="D54" s="1025">
        <f t="shared" si="7"/>
        <v>0</v>
      </c>
      <c r="E54" s="1025"/>
      <c r="F54" s="1025"/>
      <c r="G54" s="1025">
        <f>ROUND(SUM(C54:F54)/2,0)</f>
        <v>0</v>
      </c>
      <c r="H54" s="1025"/>
      <c r="I54" s="1025">
        <f t="shared" si="5"/>
        <v>0</v>
      </c>
      <c r="J54" s="1025">
        <f t="shared" si="5"/>
        <v>0</v>
      </c>
      <c r="K54" s="1025">
        <f t="shared" si="5"/>
        <v>0</v>
      </c>
      <c r="L54" s="1025"/>
      <c r="M54" s="1013"/>
      <c r="N54" s="1013"/>
      <c r="O54" s="1013"/>
      <c r="P54" s="1025"/>
      <c r="Q54" s="1013"/>
      <c r="R54" s="1013"/>
      <c r="S54" s="1013"/>
    </row>
    <row r="55" spans="1:19" ht="12.75" hidden="1">
      <c r="A55" s="1048">
        <f t="shared" si="2"/>
        <v>5.279999999999994</v>
      </c>
      <c r="B55" s="1013"/>
      <c r="C55" s="1025">
        <f t="shared" si="6"/>
        <v>0</v>
      </c>
      <c r="D55" s="1025">
        <f t="shared" si="7"/>
        <v>0</v>
      </c>
      <c r="E55" s="1025"/>
      <c r="F55" s="1025"/>
      <c r="G55" s="1025">
        <f>ROUND(SUM(C55:F55)/2,0)</f>
        <v>0</v>
      </c>
      <c r="H55" s="1025"/>
      <c r="I55" s="1025">
        <f t="shared" si="5"/>
        <v>0</v>
      </c>
      <c r="J55" s="1025">
        <f t="shared" si="5"/>
        <v>0</v>
      </c>
      <c r="K55" s="1025">
        <f t="shared" si="5"/>
        <v>0</v>
      </c>
      <c r="L55" s="1025"/>
      <c r="M55" s="1013"/>
      <c r="N55" s="1013"/>
      <c r="O55" s="1013"/>
      <c r="P55" s="1025"/>
      <c r="Q55" s="1013"/>
      <c r="R55" s="1013"/>
      <c r="S55" s="1013"/>
    </row>
    <row r="56" spans="1:19" ht="12.75" hidden="1">
      <c r="A56" s="1048">
        <f t="shared" si="2"/>
        <v>5.289999999999994</v>
      </c>
      <c r="B56" s="1013"/>
      <c r="C56" s="1025">
        <f aca="true" t="shared" si="8" ref="C56:C65">SUM(M56:O56)</f>
        <v>0</v>
      </c>
      <c r="D56" s="1025">
        <f aca="true" t="shared" si="9" ref="D56:D65">SUM(Q56:S56)</f>
        <v>0</v>
      </c>
      <c r="E56" s="1025"/>
      <c r="F56" s="1025"/>
      <c r="G56" s="1025">
        <f aca="true" t="shared" si="10" ref="G56:G68">ROUND(SUM(C56:F56)/2,0)</f>
        <v>0</v>
      </c>
      <c r="H56" s="1025"/>
      <c r="I56" s="1025">
        <f t="shared" si="5"/>
        <v>0</v>
      </c>
      <c r="J56" s="1025">
        <f t="shared" si="5"/>
        <v>0</v>
      </c>
      <c r="K56" s="1025">
        <f t="shared" si="5"/>
        <v>0</v>
      </c>
      <c r="L56" s="1025"/>
      <c r="M56" s="1013"/>
      <c r="N56" s="1013"/>
      <c r="O56" s="1013"/>
      <c r="P56" s="1025"/>
      <c r="Q56" s="1013"/>
      <c r="R56" s="1013"/>
      <c r="S56" s="1013"/>
    </row>
    <row r="57" spans="1:19" ht="12.75" hidden="1">
      <c r="A57" s="1048">
        <f t="shared" si="2"/>
        <v>5.299999999999994</v>
      </c>
      <c r="B57" s="1013"/>
      <c r="C57" s="1025">
        <f t="shared" si="8"/>
        <v>0</v>
      </c>
      <c r="D57" s="1025">
        <f t="shared" si="9"/>
        <v>0</v>
      </c>
      <c r="E57" s="1025"/>
      <c r="F57" s="1025"/>
      <c r="G57" s="1025">
        <f t="shared" si="10"/>
        <v>0</v>
      </c>
      <c r="H57" s="1025"/>
      <c r="I57" s="1025">
        <f t="shared" si="5"/>
        <v>0</v>
      </c>
      <c r="J57" s="1025">
        <f t="shared" si="5"/>
        <v>0</v>
      </c>
      <c r="K57" s="1025">
        <f t="shared" si="5"/>
        <v>0</v>
      </c>
      <c r="L57" s="1025"/>
      <c r="M57" s="1013"/>
      <c r="N57" s="1013"/>
      <c r="O57" s="1013"/>
      <c r="P57" s="1025"/>
      <c r="Q57" s="1013"/>
      <c r="R57" s="1013"/>
      <c r="S57" s="1013"/>
    </row>
    <row r="58" spans="1:19" ht="12.75" hidden="1">
      <c r="A58" s="1048">
        <f t="shared" si="2"/>
        <v>5.309999999999993</v>
      </c>
      <c r="B58" s="1013"/>
      <c r="C58" s="1025">
        <f t="shared" si="8"/>
        <v>0</v>
      </c>
      <c r="D58" s="1025">
        <f t="shared" si="9"/>
        <v>0</v>
      </c>
      <c r="E58" s="1025"/>
      <c r="F58" s="1025"/>
      <c r="G58" s="1025">
        <f>ROUND(SUM(C58:F58)/2,0)</f>
        <v>0</v>
      </c>
      <c r="H58" s="1025"/>
      <c r="I58" s="1025">
        <f t="shared" si="5"/>
        <v>0</v>
      </c>
      <c r="J58" s="1025">
        <f t="shared" si="5"/>
        <v>0</v>
      </c>
      <c r="K58" s="1025">
        <f t="shared" si="5"/>
        <v>0</v>
      </c>
      <c r="L58" s="1025"/>
      <c r="M58" s="1013"/>
      <c r="N58" s="1013"/>
      <c r="O58" s="1013"/>
      <c r="P58" s="1025"/>
      <c r="Q58" s="1013"/>
      <c r="R58" s="1013"/>
      <c r="S58" s="1013"/>
    </row>
    <row r="59" spans="1:19" ht="12.75" hidden="1">
      <c r="A59" s="1048">
        <f t="shared" si="2"/>
        <v>5.319999999999993</v>
      </c>
      <c r="B59" s="1013"/>
      <c r="C59" s="1025">
        <f t="shared" si="8"/>
        <v>0</v>
      </c>
      <c r="D59" s="1025">
        <f t="shared" si="9"/>
        <v>0</v>
      </c>
      <c r="E59" s="1025"/>
      <c r="F59" s="1025"/>
      <c r="G59" s="1025">
        <f t="shared" si="10"/>
        <v>0</v>
      </c>
      <c r="H59" s="1025"/>
      <c r="I59" s="1025">
        <f t="shared" si="5"/>
        <v>0</v>
      </c>
      <c r="J59" s="1025">
        <f t="shared" si="5"/>
        <v>0</v>
      </c>
      <c r="K59" s="1025">
        <f t="shared" si="5"/>
        <v>0</v>
      </c>
      <c r="L59" s="1025"/>
      <c r="M59" s="1013"/>
      <c r="N59" s="1013"/>
      <c r="O59" s="1013"/>
      <c r="P59" s="1025"/>
      <c r="Q59" s="1013"/>
      <c r="R59" s="1013"/>
      <c r="S59" s="1013"/>
    </row>
    <row r="60" spans="1:19" ht="12.75" hidden="1">
      <c r="A60" s="1048">
        <f t="shared" si="2"/>
        <v>5.329999999999993</v>
      </c>
      <c r="B60" s="1013"/>
      <c r="C60" s="1025">
        <f t="shared" si="8"/>
        <v>0</v>
      </c>
      <c r="D60" s="1025">
        <f t="shared" si="9"/>
        <v>0</v>
      </c>
      <c r="E60" s="1025"/>
      <c r="F60" s="1025"/>
      <c r="G60" s="1025">
        <f t="shared" si="10"/>
        <v>0</v>
      </c>
      <c r="H60" s="1025"/>
      <c r="I60" s="1025">
        <f t="shared" si="5"/>
        <v>0</v>
      </c>
      <c r="J60" s="1025">
        <f t="shared" si="5"/>
        <v>0</v>
      </c>
      <c r="K60" s="1025">
        <f t="shared" si="5"/>
        <v>0</v>
      </c>
      <c r="L60" s="1025"/>
      <c r="M60" s="1013"/>
      <c r="N60" s="1013"/>
      <c r="O60" s="1013"/>
      <c r="P60" s="1025"/>
      <c r="Q60" s="1013"/>
      <c r="R60" s="1013"/>
      <c r="S60" s="1013"/>
    </row>
    <row r="61" spans="1:19" ht="12.75" hidden="1">
      <c r="A61" s="1048">
        <f t="shared" si="2"/>
        <v>5.339999999999993</v>
      </c>
      <c r="B61" s="1013"/>
      <c r="C61" s="1029">
        <f t="shared" si="8"/>
        <v>0</v>
      </c>
      <c r="D61" s="1029">
        <f t="shared" si="9"/>
        <v>0</v>
      </c>
      <c r="E61" s="1029"/>
      <c r="F61" s="1029"/>
      <c r="G61" s="1029">
        <f>ROUND(SUM(C61:F61)/2,0)</f>
        <v>0</v>
      </c>
      <c r="H61" s="1029"/>
      <c r="I61" s="1029">
        <f t="shared" si="5"/>
        <v>0</v>
      </c>
      <c r="J61" s="1029">
        <f t="shared" si="5"/>
        <v>0</v>
      </c>
      <c r="K61" s="1029">
        <f t="shared" si="5"/>
        <v>0</v>
      </c>
      <c r="L61" s="1029"/>
      <c r="M61" s="1013"/>
      <c r="N61" s="1013"/>
      <c r="O61" s="1013"/>
      <c r="P61" s="1029"/>
      <c r="Q61" s="1013"/>
      <c r="R61" s="1013"/>
      <c r="S61" s="1013"/>
    </row>
    <row r="62" spans="1:19" ht="12.75" hidden="1">
      <c r="A62" s="1048">
        <f t="shared" si="2"/>
        <v>5.3499999999999925</v>
      </c>
      <c r="B62" s="1013"/>
      <c r="C62" s="1029">
        <f t="shared" si="8"/>
        <v>0</v>
      </c>
      <c r="D62" s="1029">
        <f t="shared" si="9"/>
        <v>0</v>
      </c>
      <c r="E62" s="1029"/>
      <c r="F62" s="1029"/>
      <c r="G62" s="1029">
        <f t="shared" si="10"/>
        <v>0</v>
      </c>
      <c r="H62" s="1029"/>
      <c r="I62" s="1029">
        <f t="shared" si="5"/>
        <v>0</v>
      </c>
      <c r="J62" s="1029">
        <f t="shared" si="5"/>
        <v>0</v>
      </c>
      <c r="K62" s="1029">
        <f t="shared" si="5"/>
        <v>0</v>
      </c>
      <c r="L62" s="1029"/>
      <c r="M62" s="1013"/>
      <c r="N62" s="1013"/>
      <c r="O62" s="1013"/>
      <c r="P62" s="1029"/>
      <c r="Q62" s="1013"/>
      <c r="R62" s="1013"/>
      <c r="S62" s="1013"/>
    </row>
    <row r="63" spans="1:19" ht="12.75" hidden="1">
      <c r="A63" s="1048">
        <f t="shared" si="2"/>
        <v>5.359999999999992</v>
      </c>
      <c r="B63" s="1013"/>
      <c r="C63" s="1025">
        <f t="shared" si="8"/>
        <v>0</v>
      </c>
      <c r="D63" s="1025">
        <f t="shared" si="9"/>
        <v>0</v>
      </c>
      <c r="E63" s="1025"/>
      <c r="F63" s="1025"/>
      <c r="G63" s="1025">
        <f t="shared" si="10"/>
        <v>0</v>
      </c>
      <c r="H63" s="1025"/>
      <c r="I63" s="1025">
        <f t="shared" si="5"/>
        <v>0</v>
      </c>
      <c r="J63" s="1025">
        <f t="shared" si="5"/>
        <v>0</v>
      </c>
      <c r="K63" s="1025">
        <f t="shared" si="5"/>
        <v>0</v>
      </c>
      <c r="L63" s="1025"/>
      <c r="M63" s="1013"/>
      <c r="N63" s="1013"/>
      <c r="O63" s="1013"/>
      <c r="P63" s="1025"/>
      <c r="Q63" s="1013"/>
      <c r="R63" s="1013"/>
      <c r="S63" s="1013"/>
    </row>
    <row r="64" spans="1:19" ht="12.75" hidden="1">
      <c r="A64" s="1048">
        <f t="shared" si="2"/>
        <v>5.369999999999992</v>
      </c>
      <c r="B64" s="1013"/>
      <c r="C64" s="1025">
        <f t="shared" si="8"/>
        <v>0</v>
      </c>
      <c r="D64" s="1025">
        <f t="shared" si="9"/>
        <v>0</v>
      </c>
      <c r="E64" s="1025"/>
      <c r="F64" s="1025"/>
      <c r="G64" s="1025">
        <f t="shared" si="10"/>
        <v>0</v>
      </c>
      <c r="H64" s="1025"/>
      <c r="I64" s="1025">
        <f t="shared" si="5"/>
        <v>0</v>
      </c>
      <c r="J64" s="1025">
        <f t="shared" si="5"/>
        <v>0</v>
      </c>
      <c r="K64" s="1025">
        <f t="shared" si="5"/>
        <v>0</v>
      </c>
      <c r="L64" s="1025"/>
      <c r="M64" s="1013"/>
      <c r="N64" s="1013"/>
      <c r="O64" s="1013"/>
      <c r="P64" s="1025"/>
      <c r="Q64" s="1013"/>
      <c r="R64" s="1013"/>
      <c r="S64" s="1013"/>
    </row>
    <row r="65" spans="1:19" ht="12.75" hidden="1">
      <c r="A65" s="1048">
        <f t="shared" si="2"/>
        <v>5.379999999999992</v>
      </c>
      <c r="B65" s="1013"/>
      <c r="C65" s="1025">
        <f t="shared" si="8"/>
        <v>0</v>
      </c>
      <c r="D65" s="1025">
        <f t="shared" si="9"/>
        <v>0</v>
      </c>
      <c r="E65" s="1025"/>
      <c r="F65" s="1025"/>
      <c r="G65" s="1025">
        <f>ROUND(SUM(C65:F65)/2,0)</f>
        <v>0</v>
      </c>
      <c r="H65" s="1025"/>
      <c r="I65" s="1025">
        <f t="shared" si="5"/>
        <v>0</v>
      </c>
      <c r="J65" s="1025">
        <f t="shared" si="5"/>
        <v>0</v>
      </c>
      <c r="K65" s="1025">
        <f t="shared" si="5"/>
        <v>0</v>
      </c>
      <c r="L65" s="1025"/>
      <c r="M65" s="1013"/>
      <c r="N65" s="1013"/>
      <c r="O65" s="1013"/>
      <c r="P65" s="1025"/>
      <c r="Q65" s="1013"/>
      <c r="R65" s="1013"/>
      <c r="S65" s="1013"/>
    </row>
    <row r="66" spans="1:19" ht="12.75" hidden="1">
      <c r="A66" s="1048">
        <f t="shared" si="2"/>
        <v>5.389999999999992</v>
      </c>
      <c r="B66" s="1013"/>
      <c r="C66" s="1013"/>
      <c r="D66" s="1013"/>
      <c r="E66" s="1025">
        <f aca="true" t="shared" si="11" ref="E66:F68">-C66</f>
        <v>0</v>
      </c>
      <c r="F66" s="1025">
        <f t="shared" si="11"/>
        <v>0</v>
      </c>
      <c r="G66" s="1025">
        <f t="shared" si="10"/>
        <v>0</v>
      </c>
      <c r="H66" s="1025"/>
      <c r="I66" s="1025"/>
      <c r="J66" s="1025"/>
      <c r="K66" s="1025"/>
      <c r="L66" s="1025"/>
      <c r="M66" s="1025"/>
      <c r="N66" s="1025"/>
      <c r="O66" s="1025"/>
      <c r="P66" s="1025"/>
      <c r="Q66" s="1025"/>
      <c r="R66" s="1025"/>
      <c r="S66" s="1025"/>
    </row>
    <row r="67" spans="1:19" ht="12.75" hidden="1">
      <c r="A67" s="1048">
        <f t="shared" si="2"/>
        <v>5.3999999999999915</v>
      </c>
      <c r="B67" s="1013"/>
      <c r="C67" s="1013"/>
      <c r="D67" s="1013"/>
      <c r="E67" s="1025">
        <f t="shared" si="11"/>
        <v>0</v>
      </c>
      <c r="F67" s="1025">
        <f t="shared" si="11"/>
        <v>0</v>
      </c>
      <c r="G67" s="1025">
        <f t="shared" si="10"/>
        <v>0</v>
      </c>
      <c r="H67" s="1025"/>
      <c r="I67" s="1025"/>
      <c r="J67" s="1025"/>
      <c r="K67" s="1025"/>
      <c r="L67" s="1025"/>
      <c r="M67" s="1025"/>
      <c r="N67" s="1025"/>
      <c r="O67" s="1025"/>
      <c r="P67" s="1025"/>
      <c r="Q67" s="1025"/>
      <c r="R67" s="1025"/>
      <c r="S67" s="1025"/>
    </row>
    <row r="68" spans="1:19" ht="12.75" hidden="1">
      <c r="A68" s="1048">
        <f t="shared" si="2"/>
        <v>5.409999999999991</v>
      </c>
      <c r="B68" s="1013"/>
      <c r="C68" s="1013"/>
      <c r="D68" s="1013"/>
      <c r="E68" s="1025">
        <f t="shared" si="11"/>
        <v>0</v>
      </c>
      <c r="F68" s="1025">
        <f t="shared" si="11"/>
        <v>0</v>
      </c>
      <c r="G68" s="1025">
        <f t="shared" si="10"/>
        <v>0</v>
      </c>
      <c r="H68" s="1025"/>
      <c r="I68" s="1025"/>
      <c r="J68" s="1025"/>
      <c r="K68" s="1025"/>
      <c r="L68" s="1025"/>
      <c r="M68" s="1025"/>
      <c r="N68" s="1025"/>
      <c r="O68" s="1025"/>
      <c r="P68" s="1025"/>
      <c r="Q68" s="1025"/>
      <c r="R68" s="1025"/>
      <c r="S68" s="1025"/>
    </row>
    <row r="69" ht="12.75">
      <c r="A69" s="1006"/>
    </row>
    <row r="70" spans="1:19" ht="12.75">
      <c r="A70" s="1034"/>
      <c r="B70" s="1017"/>
      <c r="C70" s="1025"/>
      <c r="D70" s="1025"/>
      <c r="E70" s="1025"/>
      <c r="F70" s="1025"/>
      <c r="G70" s="1025"/>
      <c r="H70" s="1025"/>
      <c r="I70" s="1025"/>
      <c r="J70" s="1025"/>
      <c r="K70" s="1025"/>
      <c r="L70" s="1025"/>
      <c r="M70" s="1025"/>
      <c r="N70" s="1025"/>
      <c r="O70" s="1025"/>
      <c r="P70" s="1025"/>
      <c r="Q70" s="1025"/>
      <c r="R70" s="1025"/>
      <c r="S70" s="1025"/>
    </row>
    <row r="71" spans="1:19" ht="13.5" thickBot="1">
      <c r="A71" s="1034">
        <v>6</v>
      </c>
      <c r="B71" s="1014" t="s">
        <v>687</v>
      </c>
      <c r="C71" s="1027">
        <f>SUM(C28:C70)</f>
        <v>112386833.5</v>
      </c>
      <c r="D71" s="1027">
        <f>SUM(D28:D70)</f>
        <v>92620580.5</v>
      </c>
      <c r="E71" s="1027">
        <f>SUM(E28:E70)</f>
        <v>-8496404</v>
      </c>
      <c r="F71" s="1027">
        <f>SUM(F28:F70)</f>
        <v>51273413</v>
      </c>
      <c r="G71" s="1027">
        <f>SUM(G28:G70)</f>
        <v>123892213</v>
      </c>
      <c r="H71" s="1025"/>
      <c r="I71" s="1027">
        <f>SUM(I28:I70)</f>
        <v>0</v>
      </c>
      <c r="J71" s="1027">
        <f>SUM(J28:J70)</f>
        <v>123892211.5</v>
      </c>
      <c r="K71" s="1027">
        <f>SUM(K28:K70)</f>
        <v>0</v>
      </c>
      <c r="L71" s="1025"/>
      <c r="M71" s="1027">
        <f>SUM(M28:M70)</f>
        <v>0</v>
      </c>
      <c r="N71" s="1027">
        <f>SUM(N28:N70)</f>
        <v>103890429.5</v>
      </c>
      <c r="O71" s="1027">
        <f>SUM(O28:O70)</f>
        <v>0</v>
      </c>
      <c r="P71" s="1025"/>
      <c r="Q71" s="1027">
        <f>SUM(Q28:Q70)</f>
        <v>0</v>
      </c>
      <c r="R71" s="1027">
        <f>SUM(R28:R70)</f>
        <v>143893993.5</v>
      </c>
      <c r="S71" s="1027">
        <f>SUM(S28:S70)</f>
        <v>0</v>
      </c>
    </row>
    <row r="72" spans="1:19" ht="13.5" thickTop="1">
      <c r="A72" s="1034">
        <f>A71+1</f>
        <v>7</v>
      </c>
      <c r="B72" s="1017" t="s">
        <v>688</v>
      </c>
      <c r="C72" s="1028">
        <v>0</v>
      </c>
      <c r="D72" s="1028">
        <v>0</v>
      </c>
      <c r="E72" s="1028">
        <f>SUM(E34,E35,E61,E62)</f>
        <v>0</v>
      </c>
      <c r="F72" s="1028">
        <f>SUM(F34,F35,F61,F62)</f>
        <v>0</v>
      </c>
      <c r="G72" s="1028">
        <v>0</v>
      </c>
      <c r="H72" s="1025"/>
      <c r="I72" s="1028">
        <f>SUM(I34,I35,I61,I62)</f>
        <v>0</v>
      </c>
      <c r="J72" s="1028">
        <v>0</v>
      </c>
      <c r="K72" s="1028">
        <f>SUM(K34,K35,K61,K62)</f>
        <v>0</v>
      </c>
      <c r="L72" s="1028"/>
      <c r="M72" s="1028">
        <f>SUM(M34,M35,M61,M62)</f>
        <v>0</v>
      </c>
      <c r="N72" s="1028">
        <v>0</v>
      </c>
      <c r="O72" s="1028">
        <f>SUM(O34,O35,O61,O62)</f>
        <v>0</v>
      </c>
      <c r="P72" s="1025"/>
      <c r="Q72" s="1028">
        <f>SUM(Q34,Q35,Q61,Q62)</f>
        <v>0</v>
      </c>
      <c r="R72" s="1028">
        <v>0</v>
      </c>
      <c r="S72" s="1028">
        <f>SUM(S34,S35,S61,S62)</f>
        <v>0</v>
      </c>
    </row>
    <row r="73" spans="1:19" ht="12.75">
      <c r="A73" s="1034"/>
      <c r="B73" s="1014"/>
      <c r="C73" s="1025"/>
      <c r="D73" s="1030"/>
      <c r="E73" s="1025"/>
      <c r="F73" s="1025"/>
      <c r="G73" s="1025"/>
      <c r="H73" s="1025"/>
      <c r="I73" s="1025"/>
      <c r="J73" s="1025"/>
      <c r="K73" s="1025"/>
      <c r="L73" s="1025"/>
      <c r="M73" s="1025"/>
      <c r="N73" s="1025"/>
      <c r="O73" s="1025"/>
      <c r="P73" s="1025"/>
      <c r="Q73" s="1025"/>
      <c r="R73" s="1025"/>
      <c r="S73" s="1025"/>
    </row>
    <row r="74" spans="1:19" ht="12.75">
      <c r="A74" s="1034">
        <v>8</v>
      </c>
      <c r="B74" s="1011" t="s">
        <v>689</v>
      </c>
      <c r="C74" s="1025" t="s">
        <v>417</v>
      </c>
      <c r="D74" s="1025"/>
      <c r="E74" s="1025"/>
      <c r="F74" s="1025"/>
      <c r="G74" s="1025"/>
      <c r="H74" s="1025"/>
      <c r="I74" s="1025"/>
      <c r="J74" s="1025"/>
      <c r="K74" s="1025"/>
      <c r="L74" s="1025"/>
      <c r="M74" s="1025"/>
      <c r="N74" s="1025"/>
      <c r="O74" s="1025"/>
      <c r="P74" s="1025"/>
      <c r="Q74" s="1025"/>
      <c r="R74" s="1025"/>
      <c r="S74" s="1025"/>
    </row>
    <row r="75" spans="1:19" ht="12.75">
      <c r="A75" s="1034"/>
      <c r="B75" s="1017"/>
      <c r="C75" s="1025"/>
      <c r="D75" s="1025"/>
      <c r="E75" s="1025"/>
      <c r="F75" s="1025"/>
      <c r="G75" s="1025"/>
      <c r="H75" s="1025"/>
      <c r="I75" s="1025"/>
      <c r="J75" s="1025"/>
      <c r="K75" s="1025"/>
      <c r="L75" s="1025"/>
      <c r="M75" s="1025"/>
      <c r="N75" s="1025"/>
      <c r="O75" s="1025"/>
      <c r="P75" s="1025"/>
      <c r="Q75" s="1025"/>
      <c r="R75" s="1025"/>
      <c r="S75" s="1025"/>
    </row>
    <row r="76" spans="1:19" ht="12.75">
      <c r="A76" s="1048">
        <v>9.01</v>
      </c>
      <c r="B76" s="1013" t="s">
        <v>936</v>
      </c>
      <c r="C76" s="1025">
        <v>0</v>
      </c>
      <c r="D76" s="1025">
        <v>143149</v>
      </c>
      <c r="E76" s="1025"/>
      <c r="F76" s="1025"/>
      <c r="G76" s="1025">
        <f aca="true" t="shared" si="12" ref="G76:G130">ROUND(SUM(C76:F76)/2,0)</f>
        <v>71575</v>
      </c>
      <c r="H76" s="1025"/>
      <c r="I76" s="1025"/>
      <c r="J76" s="1025">
        <v>71574.5</v>
      </c>
      <c r="K76" s="1025"/>
      <c r="L76" s="1025"/>
      <c r="M76" s="1013"/>
      <c r="N76" s="1013">
        <v>0</v>
      </c>
      <c r="O76" s="1013"/>
      <c r="P76" s="1025"/>
      <c r="Q76" s="1013"/>
      <c r="R76" s="1013">
        <v>143149</v>
      </c>
      <c r="S76" s="1013"/>
    </row>
    <row r="77" spans="1:19" ht="12.75">
      <c r="A77" s="1048">
        <f>A76+0.01</f>
        <v>9.02</v>
      </c>
      <c r="B77" s="1013" t="s">
        <v>937</v>
      </c>
      <c r="C77" s="1025">
        <v>0</v>
      </c>
      <c r="D77" s="1025">
        <v>471904</v>
      </c>
      <c r="E77" s="1025"/>
      <c r="F77" s="1025"/>
      <c r="G77" s="1025">
        <f>ROUND(SUM(C77:F77)/2,0)</f>
        <v>235952</v>
      </c>
      <c r="H77" s="1025"/>
      <c r="I77" s="1025"/>
      <c r="J77" s="1025">
        <v>235952</v>
      </c>
      <c r="K77" s="1025"/>
      <c r="L77" s="1025"/>
      <c r="M77" s="1013"/>
      <c r="N77" s="1013">
        <v>0</v>
      </c>
      <c r="O77" s="1013"/>
      <c r="P77" s="1025"/>
      <c r="Q77" s="1013"/>
      <c r="R77" s="1013">
        <v>471904</v>
      </c>
      <c r="S77" s="1013"/>
    </row>
    <row r="78" spans="1:19" ht="12.75">
      <c r="A78" s="1048">
        <f aca="true" t="shared" si="13" ref="A78:A141">A77+0.01</f>
        <v>9.03</v>
      </c>
      <c r="B78" s="1013" t="s">
        <v>931</v>
      </c>
      <c r="C78" s="1025">
        <v>0</v>
      </c>
      <c r="D78" s="1025">
        <v>0</v>
      </c>
      <c r="E78" s="1025"/>
      <c r="F78" s="1025"/>
      <c r="G78" s="1025">
        <f t="shared" si="12"/>
        <v>0</v>
      </c>
      <c r="H78" s="1025"/>
      <c r="I78" s="1025"/>
      <c r="J78" s="1025">
        <v>0</v>
      </c>
      <c r="K78" s="1025"/>
      <c r="L78" s="1025"/>
      <c r="M78" s="1013"/>
      <c r="N78" s="1013">
        <v>0</v>
      </c>
      <c r="O78" s="1013"/>
      <c r="P78" s="1025"/>
      <c r="Q78" s="1013"/>
      <c r="R78" s="1013">
        <v>0</v>
      </c>
      <c r="S78" s="1013"/>
    </row>
    <row r="79" spans="1:19" ht="12.75">
      <c r="A79" s="1048">
        <f t="shared" si="13"/>
        <v>9.04</v>
      </c>
      <c r="B79" s="1013" t="s">
        <v>938</v>
      </c>
      <c r="C79" s="1025">
        <v>0</v>
      </c>
      <c r="D79" s="1025">
        <v>0</v>
      </c>
      <c r="E79" s="1025">
        <v>0</v>
      </c>
      <c r="F79" s="1025">
        <v>0</v>
      </c>
      <c r="G79" s="1025">
        <f t="shared" si="12"/>
        <v>0</v>
      </c>
      <c r="H79" s="1025"/>
      <c r="I79" s="1025"/>
      <c r="J79" s="1025">
        <v>0</v>
      </c>
      <c r="K79" s="1025"/>
      <c r="L79" s="1025"/>
      <c r="M79" s="1013"/>
      <c r="N79" s="1013"/>
      <c r="O79" s="1013"/>
      <c r="P79" s="1025"/>
      <c r="Q79" s="1013"/>
      <c r="R79" s="1013"/>
      <c r="S79" s="1013"/>
    </row>
    <row r="80" spans="1:19" ht="12.75">
      <c r="A80" s="1048">
        <f t="shared" si="13"/>
        <v>9.049999999999999</v>
      </c>
      <c r="B80" s="1013" t="s">
        <v>939</v>
      </c>
      <c r="C80" s="1025">
        <v>4574987</v>
      </c>
      <c r="D80" s="1025">
        <v>1670479</v>
      </c>
      <c r="E80" s="1025">
        <v>-4574987</v>
      </c>
      <c r="F80" s="1025">
        <v>-1670479</v>
      </c>
      <c r="G80" s="1025">
        <f t="shared" si="12"/>
        <v>0</v>
      </c>
      <c r="H80" s="1025"/>
      <c r="I80" s="1025"/>
      <c r="J80" s="1025">
        <v>0</v>
      </c>
      <c r="K80" s="1025"/>
      <c r="L80" s="1025"/>
      <c r="M80" s="1013"/>
      <c r="N80" s="1013"/>
      <c r="O80" s="1013"/>
      <c r="P80" s="1025"/>
      <c r="Q80" s="1013"/>
      <c r="R80" s="1013"/>
      <c r="S80" s="1013"/>
    </row>
    <row r="81" spans="1:19" ht="12.75">
      <c r="A81" s="1048">
        <f t="shared" si="13"/>
        <v>9.059999999999999</v>
      </c>
      <c r="B81" s="1013" t="s">
        <v>940</v>
      </c>
      <c r="C81" s="1025">
        <v>0</v>
      </c>
      <c r="D81" s="1025">
        <v>4719901</v>
      </c>
      <c r="E81" s="1025">
        <v>0</v>
      </c>
      <c r="F81" s="1025">
        <v>-4719901</v>
      </c>
      <c r="G81" s="1025">
        <f t="shared" si="12"/>
        <v>0</v>
      </c>
      <c r="H81" s="1025"/>
      <c r="I81" s="1025"/>
      <c r="J81" s="1025">
        <v>0</v>
      </c>
      <c r="K81" s="1025"/>
      <c r="L81" s="1025"/>
      <c r="M81" s="1013"/>
      <c r="N81" s="1013"/>
      <c r="O81" s="1013"/>
      <c r="P81" s="1025"/>
      <c r="Q81" s="1013"/>
      <c r="R81" s="1013"/>
      <c r="S81" s="1013"/>
    </row>
    <row r="82" spans="1:19" ht="12.75">
      <c r="A82" s="1048">
        <f t="shared" si="13"/>
        <v>9.069999999999999</v>
      </c>
      <c r="B82" s="1013" t="s">
        <v>941</v>
      </c>
      <c r="C82" s="1025">
        <v>0</v>
      </c>
      <c r="D82" s="1025">
        <v>0</v>
      </c>
      <c r="E82" s="1025">
        <v>0</v>
      </c>
      <c r="F82" s="1025">
        <v>0</v>
      </c>
      <c r="G82" s="1025">
        <f>ROUND(SUM(C82:F82)/2,0)</f>
        <v>0</v>
      </c>
      <c r="H82" s="1025"/>
      <c r="I82" s="1025"/>
      <c r="J82" s="1025">
        <v>0</v>
      </c>
      <c r="K82" s="1025"/>
      <c r="L82" s="1025"/>
      <c r="M82" s="1013"/>
      <c r="N82" s="1013"/>
      <c r="O82" s="1013"/>
      <c r="P82" s="1025"/>
      <c r="Q82" s="1013"/>
      <c r="R82" s="1013"/>
      <c r="S82" s="1013"/>
    </row>
    <row r="83" spans="1:19" ht="12.75">
      <c r="A83" s="1048">
        <f t="shared" si="13"/>
        <v>9.079999999999998</v>
      </c>
      <c r="B83" s="1013" t="s">
        <v>942</v>
      </c>
      <c r="C83" s="1025">
        <v>0</v>
      </c>
      <c r="D83" s="1025">
        <v>0</v>
      </c>
      <c r="E83" s="1025">
        <v>0</v>
      </c>
      <c r="F83" s="1025">
        <v>0</v>
      </c>
      <c r="G83" s="1025">
        <f>ROUND(SUM(C83:F83)/2,0)</f>
        <v>0</v>
      </c>
      <c r="H83" s="1025"/>
      <c r="I83" s="1025"/>
      <c r="J83" s="1025">
        <v>0</v>
      </c>
      <c r="K83" s="1025"/>
      <c r="L83" s="1025"/>
      <c r="M83" s="1013"/>
      <c r="N83" s="1013"/>
      <c r="O83" s="1013"/>
      <c r="P83" s="1025"/>
      <c r="Q83" s="1013"/>
      <c r="R83" s="1013"/>
      <c r="S83" s="1013"/>
    </row>
    <row r="84" spans="1:19" ht="12.75">
      <c r="A84" s="1048">
        <f t="shared" si="13"/>
        <v>9.089999999999998</v>
      </c>
      <c r="B84" s="1013"/>
      <c r="C84" s="1025">
        <f aca="true" t="shared" si="14" ref="C84:C140">SUM(M84:O84)</f>
        <v>0</v>
      </c>
      <c r="D84" s="1025">
        <f aca="true" t="shared" si="15" ref="D84:D139">SUM(Q84:S84)</f>
        <v>0</v>
      </c>
      <c r="E84" s="1025"/>
      <c r="F84" s="1025"/>
      <c r="G84" s="1025">
        <f t="shared" si="12"/>
        <v>0</v>
      </c>
      <c r="H84" s="1025"/>
      <c r="I84" s="1025">
        <f aca="true" t="shared" si="16" ref="I84:K136">(M84+Q84)/2</f>
        <v>0</v>
      </c>
      <c r="J84" s="1025">
        <f t="shared" si="16"/>
        <v>0</v>
      </c>
      <c r="K84" s="1025">
        <f t="shared" si="16"/>
        <v>0</v>
      </c>
      <c r="L84" s="1025"/>
      <c r="M84" s="1013"/>
      <c r="N84" s="1013"/>
      <c r="O84" s="1013"/>
      <c r="P84" s="1025"/>
      <c r="Q84" s="1013"/>
      <c r="R84" s="1013"/>
      <c r="S84" s="1013"/>
    </row>
    <row r="85" spans="1:19" ht="12.75" hidden="1">
      <c r="A85" s="1048">
        <f t="shared" si="13"/>
        <v>9.099999999999998</v>
      </c>
      <c r="B85" s="1013"/>
      <c r="C85" s="1025">
        <f t="shared" si="14"/>
        <v>0</v>
      </c>
      <c r="D85" s="1025">
        <f t="shared" si="15"/>
        <v>0</v>
      </c>
      <c r="E85" s="1025"/>
      <c r="F85" s="1025"/>
      <c r="G85" s="1025">
        <f>ROUND(SUM(C85:F85)/2,0)</f>
        <v>0</v>
      </c>
      <c r="H85" s="1025"/>
      <c r="I85" s="1025">
        <f t="shared" si="16"/>
        <v>0</v>
      </c>
      <c r="J85" s="1025">
        <f t="shared" si="16"/>
        <v>0</v>
      </c>
      <c r="K85" s="1025">
        <f t="shared" si="16"/>
        <v>0</v>
      </c>
      <c r="L85" s="1025"/>
      <c r="M85" s="1013"/>
      <c r="N85" s="1013"/>
      <c r="O85" s="1013"/>
      <c r="P85" s="1025"/>
      <c r="Q85" s="1013"/>
      <c r="R85" s="1013"/>
      <c r="S85" s="1013"/>
    </row>
    <row r="86" spans="1:19" ht="12.75" hidden="1">
      <c r="A86" s="1048">
        <f t="shared" si="13"/>
        <v>9.109999999999998</v>
      </c>
      <c r="B86" s="1013"/>
      <c r="C86" s="1025">
        <f t="shared" si="14"/>
        <v>0</v>
      </c>
      <c r="D86" s="1025">
        <f t="shared" si="15"/>
        <v>0</v>
      </c>
      <c r="E86" s="1025"/>
      <c r="F86" s="1025"/>
      <c r="G86" s="1025">
        <f>ROUND(SUM(C86:F86)/2,0)</f>
        <v>0</v>
      </c>
      <c r="H86" s="1025"/>
      <c r="I86" s="1025">
        <f t="shared" si="16"/>
        <v>0</v>
      </c>
      <c r="J86" s="1025">
        <f t="shared" si="16"/>
        <v>0</v>
      </c>
      <c r="K86" s="1025">
        <f t="shared" si="16"/>
        <v>0</v>
      </c>
      <c r="L86" s="1025"/>
      <c r="M86" s="1013"/>
      <c r="N86" s="1013"/>
      <c r="O86" s="1013"/>
      <c r="P86" s="1025"/>
      <c r="Q86" s="1013"/>
      <c r="R86" s="1013"/>
      <c r="S86" s="1013"/>
    </row>
    <row r="87" spans="1:19" ht="12.75" hidden="1">
      <c r="A87" s="1048">
        <f t="shared" si="13"/>
        <v>9.119999999999997</v>
      </c>
      <c r="B87" s="1013"/>
      <c r="C87" s="1025">
        <f t="shared" si="14"/>
        <v>0</v>
      </c>
      <c r="D87" s="1025">
        <f t="shared" si="15"/>
        <v>0</v>
      </c>
      <c r="E87" s="1025"/>
      <c r="F87" s="1025"/>
      <c r="G87" s="1025">
        <f t="shared" si="12"/>
        <v>0</v>
      </c>
      <c r="H87" s="1025"/>
      <c r="I87" s="1025">
        <f t="shared" si="16"/>
        <v>0</v>
      </c>
      <c r="J87" s="1025">
        <f t="shared" si="16"/>
        <v>0</v>
      </c>
      <c r="K87" s="1025">
        <f t="shared" si="16"/>
        <v>0</v>
      </c>
      <c r="L87" s="1025"/>
      <c r="M87" s="1013"/>
      <c r="N87" s="1013"/>
      <c r="O87" s="1013"/>
      <c r="P87" s="1025"/>
      <c r="Q87" s="1013"/>
      <c r="R87" s="1013"/>
      <c r="S87" s="1013"/>
    </row>
    <row r="88" spans="1:19" ht="12.75" hidden="1">
      <c r="A88" s="1048">
        <f t="shared" si="13"/>
        <v>9.129999999999997</v>
      </c>
      <c r="B88" s="1013"/>
      <c r="C88" s="1025">
        <f t="shared" si="14"/>
        <v>0</v>
      </c>
      <c r="D88" s="1025">
        <f t="shared" si="15"/>
        <v>0</v>
      </c>
      <c r="E88" s="1025"/>
      <c r="F88" s="1025"/>
      <c r="G88" s="1025">
        <f t="shared" si="12"/>
        <v>0</v>
      </c>
      <c r="H88" s="1025"/>
      <c r="I88" s="1025">
        <f t="shared" si="16"/>
        <v>0</v>
      </c>
      <c r="J88" s="1025">
        <f t="shared" si="16"/>
        <v>0</v>
      </c>
      <c r="K88" s="1025">
        <f t="shared" si="16"/>
        <v>0</v>
      </c>
      <c r="L88" s="1025"/>
      <c r="M88" s="1013"/>
      <c r="N88" s="1013"/>
      <c r="O88" s="1013"/>
      <c r="P88" s="1025"/>
      <c r="Q88" s="1013"/>
      <c r="R88" s="1013"/>
      <c r="S88" s="1013"/>
    </row>
    <row r="89" spans="1:19" ht="12.75" hidden="1">
      <c r="A89" s="1048">
        <f t="shared" si="13"/>
        <v>9.139999999999997</v>
      </c>
      <c r="B89" s="1013"/>
      <c r="C89" s="1025">
        <f t="shared" si="14"/>
        <v>0</v>
      </c>
      <c r="D89" s="1025">
        <f t="shared" si="15"/>
        <v>0</v>
      </c>
      <c r="E89" s="1025"/>
      <c r="F89" s="1025"/>
      <c r="G89" s="1025">
        <f t="shared" si="12"/>
        <v>0</v>
      </c>
      <c r="H89" s="1025"/>
      <c r="I89" s="1025">
        <f t="shared" si="16"/>
        <v>0</v>
      </c>
      <c r="J89" s="1025">
        <f t="shared" si="16"/>
        <v>0</v>
      </c>
      <c r="K89" s="1025">
        <f t="shared" si="16"/>
        <v>0</v>
      </c>
      <c r="L89" s="1025"/>
      <c r="M89" s="1013"/>
      <c r="N89" s="1013"/>
      <c r="O89" s="1013"/>
      <c r="P89" s="1025"/>
      <c r="Q89" s="1013"/>
      <c r="R89" s="1013"/>
      <c r="S89" s="1013"/>
    </row>
    <row r="90" spans="1:19" ht="12.75" hidden="1">
      <c r="A90" s="1048">
        <f t="shared" si="13"/>
        <v>9.149999999999997</v>
      </c>
      <c r="B90" s="1013"/>
      <c r="C90" s="1025">
        <f t="shared" si="14"/>
        <v>0</v>
      </c>
      <c r="D90" s="1025">
        <f t="shared" si="15"/>
        <v>0</v>
      </c>
      <c r="E90" s="1025"/>
      <c r="F90" s="1025"/>
      <c r="G90" s="1025">
        <f t="shared" si="12"/>
        <v>0</v>
      </c>
      <c r="H90" s="1025"/>
      <c r="I90" s="1025">
        <f t="shared" si="16"/>
        <v>0</v>
      </c>
      <c r="J90" s="1025">
        <f t="shared" si="16"/>
        <v>0</v>
      </c>
      <c r="K90" s="1025">
        <f t="shared" si="16"/>
        <v>0</v>
      </c>
      <c r="L90" s="1025"/>
      <c r="M90" s="1013"/>
      <c r="N90" s="1013"/>
      <c r="O90" s="1013"/>
      <c r="P90" s="1025"/>
      <c r="Q90" s="1013"/>
      <c r="R90" s="1013"/>
      <c r="S90" s="1013"/>
    </row>
    <row r="91" spans="1:19" ht="12.75" hidden="1">
      <c r="A91" s="1048">
        <f t="shared" si="13"/>
        <v>9.159999999999997</v>
      </c>
      <c r="B91" s="1013"/>
      <c r="C91" s="1025">
        <f t="shared" si="14"/>
        <v>0</v>
      </c>
      <c r="D91" s="1025">
        <f t="shared" si="15"/>
        <v>0</v>
      </c>
      <c r="E91" s="1025"/>
      <c r="F91" s="1025"/>
      <c r="G91" s="1025">
        <f t="shared" si="12"/>
        <v>0</v>
      </c>
      <c r="H91" s="1025"/>
      <c r="I91" s="1025">
        <f t="shared" si="16"/>
        <v>0</v>
      </c>
      <c r="J91" s="1025">
        <f t="shared" si="16"/>
        <v>0</v>
      </c>
      <c r="K91" s="1025">
        <f t="shared" si="16"/>
        <v>0</v>
      </c>
      <c r="L91" s="1025"/>
      <c r="M91" s="1013"/>
      <c r="N91" s="1013"/>
      <c r="O91" s="1013"/>
      <c r="P91" s="1025"/>
      <c r="Q91" s="1013"/>
      <c r="R91" s="1013"/>
      <c r="S91" s="1013"/>
    </row>
    <row r="92" spans="1:19" ht="12.75" hidden="1">
      <c r="A92" s="1048">
        <f t="shared" si="13"/>
        <v>9.169999999999996</v>
      </c>
      <c r="B92" s="1013"/>
      <c r="C92" s="1025">
        <f t="shared" si="14"/>
        <v>0</v>
      </c>
      <c r="D92" s="1025">
        <f t="shared" si="15"/>
        <v>0</v>
      </c>
      <c r="E92" s="1025"/>
      <c r="F92" s="1025"/>
      <c r="G92" s="1025">
        <f t="shared" si="12"/>
        <v>0</v>
      </c>
      <c r="H92" s="1025"/>
      <c r="I92" s="1025">
        <f t="shared" si="16"/>
        <v>0</v>
      </c>
      <c r="J92" s="1025">
        <f t="shared" si="16"/>
        <v>0</v>
      </c>
      <c r="K92" s="1025">
        <f t="shared" si="16"/>
        <v>0</v>
      </c>
      <c r="L92" s="1025"/>
      <c r="M92" s="1013"/>
      <c r="N92" s="1013"/>
      <c r="O92" s="1013"/>
      <c r="P92" s="1025"/>
      <c r="Q92" s="1013"/>
      <c r="R92" s="1013"/>
      <c r="S92" s="1013"/>
    </row>
    <row r="93" spans="1:19" ht="12.75" hidden="1">
      <c r="A93" s="1048">
        <f t="shared" si="13"/>
        <v>9.179999999999996</v>
      </c>
      <c r="B93" s="1013"/>
      <c r="C93" s="1025">
        <f t="shared" si="14"/>
        <v>0</v>
      </c>
      <c r="D93" s="1025">
        <f t="shared" si="15"/>
        <v>0</v>
      </c>
      <c r="E93" s="1025"/>
      <c r="F93" s="1025"/>
      <c r="G93" s="1025">
        <f t="shared" si="12"/>
        <v>0</v>
      </c>
      <c r="H93" s="1025"/>
      <c r="I93" s="1025">
        <f t="shared" si="16"/>
        <v>0</v>
      </c>
      <c r="J93" s="1025">
        <f t="shared" si="16"/>
        <v>0</v>
      </c>
      <c r="K93" s="1025">
        <f t="shared" si="16"/>
        <v>0</v>
      </c>
      <c r="L93" s="1025"/>
      <c r="M93" s="1013"/>
      <c r="N93" s="1013"/>
      <c r="O93" s="1013"/>
      <c r="P93" s="1025"/>
      <c r="Q93" s="1013"/>
      <c r="R93" s="1013"/>
      <c r="S93" s="1013"/>
    </row>
    <row r="94" spans="1:19" ht="12.75" hidden="1">
      <c r="A94" s="1048">
        <f t="shared" si="13"/>
        <v>9.189999999999996</v>
      </c>
      <c r="B94" s="1013"/>
      <c r="C94" s="1025">
        <f t="shared" si="14"/>
        <v>0</v>
      </c>
      <c r="D94" s="1025">
        <f t="shared" si="15"/>
        <v>0</v>
      </c>
      <c r="E94" s="1025"/>
      <c r="F94" s="1025"/>
      <c r="G94" s="1025">
        <f t="shared" si="12"/>
        <v>0</v>
      </c>
      <c r="H94" s="1025"/>
      <c r="I94" s="1025">
        <f t="shared" si="16"/>
        <v>0</v>
      </c>
      <c r="J94" s="1025">
        <f t="shared" si="16"/>
        <v>0</v>
      </c>
      <c r="K94" s="1025">
        <f t="shared" si="16"/>
        <v>0</v>
      </c>
      <c r="L94" s="1025"/>
      <c r="M94" s="1013"/>
      <c r="N94" s="1013"/>
      <c r="O94" s="1013"/>
      <c r="P94" s="1025"/>
      <c r="Q94" s="1013"/>
      <c r="R94" s="1013"/>
      <c r="S94" s="1013"/>
    </row>
    <row r="95" spans="1:19" ht="12.75" hidden="1">
      <c r="A95" s="1048">
        <f t="shared" si="13"/>
        <v>9.199999999999996</v>
      </c>
      <c r="B95" s="1013"/>
      <c r="C95" s="1025">
        <f t="shared" si="14"/>
        <v>0</v>
      </c>
      <c r="D95" s="1025">
        <f t="shared" si="15"/>
        <v>0</v>
      </c>
      <c r="E95" s="1025"/>
      <c r="F95" s="1025"/>
      <c r="G95" s="1025">
        <f t="shared" si="12"/>
        <v>0</v>
      </c>
      <c r="H95" s="1025"/>
      <c r="I95" s="1025">
        <f t="shared" si="16"/>
        <v>0</v>
      </c>
      <c r="J95" s="1025">
        <f t="shared" si="16"/>
        <v>0</v>
      </c>
      <c r="K95" s="1025">
        <f t="shared" si="16"/>
        <v>0</v>
      </c>
      <c r="L95" s="1025"/>
      <c r="M95" s="1013"/>
      <c r="N95" s="1013"/>
      <c r="O95" s="1013"/>
      <c r="P95" s="1025"/>
      <c r="Q95" s="1013"/>
      <c r="R95" s="1013"/>
      <c r="S95" s="1013"/>
    </row>
    <row r="96" spans="1:19" ht="12.75" hidden="1">
      <c r="A96" s="1048">
        <f t="shared" si="13"/>
        <v>9.209999999999996</v>
      </c>
      <c r="B96" s="1013"/>
      <c r="C96" s="1025">
        <f t="shared" si="14"/>
        <v>0</v>
      </c>
      <c r="D96" s="1025">
        <f t="shared" si="15"/>
        <v>0</v>
      </c>
      <c r="E96" s="1025"/>
      <c r="F96" s="1025"/>
      <c r="G96" s="1025">
        <f t="shared" si="12"/>
        <v>0</v>
      </c>
      <c r="H96" s="1025"/>
      <c r="I96" s="1025">
        <f t="shared" si="16"/>
        <v>0</v>
      </c>
      <c r="J96" s="1025">
        <f t="shared" si="16"/>
        <v>0</v>
      </c>
      <c r="K96" s="1025">
        <f t="shared" si="16"/>
        <v>0</v>
      </c>
      <c r="L96" s="1025"/>
      <c r="M96" s="1013"/>
      <c r="N96" s="1013"/>
      <c r="O96" s="1013"/>
      <c r="P96" s="1025"/>
      <c r="Q96" s="1013"/>
      <c r="R96" s="1013"/>
      <c r="S96" s="1013"/>
    </row>
    <row r="97" spans="1:19" ht="12.75" hidden="1">
      <c r="A97" s="1048">
        <f t="shared" si="13"/>
        <v>9.219999999999995</v>
      </c>
      <c r="B97" s="1013"/>
      <c r="C97" s="1025">
        <f t="shared" si="14"/>
        <v>0</v>
      </c>
      <c r="D97" s="1025">
        <f t="shared" si="15"/>
        <v>0</v>
      </c>
      <c r="E97" s="1025"/>
      <c r="F97" s="1025"/>
      <c r="G97" s="1025">
        <f t="shared" si="12"/>
        <v>0</v>
      </c>
      <c r="H97" s="1025"/>
      <c r="I97" s="1025">
        <f t="shared" si="16"/>
        <v>0</v>
      </c>
      <c r="J97" s="1025">
        <f t="shared" si="16"/>
        <v>0</v>
      </c>
      <c r="K97" s="1025">
        <f t="shared" si="16"/>
        <v>0</v>
      </c>
      <c r="L97" s="1025"/>
      <c r="M97" s="1013"/>
      <c r="N97" s="1013"/>
      <c r="O97" s="1013"/>
      <c r="P97" s="1025"/>
      <c r="Q97" s="1013"/>
      <c r="R97" s="1013"/>
      <c r="S97" s="1013"/>
    </row>
    <row r="98" spans="1:19" ht="12.75" hidden="1">
      <c r="A98" s="1048">
        <f t="shared" si="13"/>
        <v>9.229999999999995</v>
      </c>
      <c r="B98" s="1013"/>
      <c r="C98" s="1025">
        <f t="shared" si="14"/>
        <v>0</v>
      </c>
      <c r="D98" s="1025">
        <f t="shared" si="15"/>
        <v>0</v>
      </c>
      <c r="E98" s="1025"/>
      <c r="F98" s="1025"/>
      <c r="G98" s="1025">
        <f t="shared" si="12"/>
        <v>0</v>
      </c>
      <c r="H98" s="1025"/>
      <c r="I98" s="1025">
        <f t="shared" si="16"/>
        <v>0</v>
      </c>
      <c r="J98" s="1025">
        <f t="shared" si="16"/>
        <v>0</v>
      </c>
      <c r="K98" s="1025">
        <f t="shared" si="16"/>
        <v>0</v>
      </c>
      <c r="L98" s="1025"/>
      <c r="M98" s="1013"/>
      <c r="N98" s="1013"/>
      <c r="O98" s="1013"/>
      <c r="P98" s="1025"/>
      <c r="Q98" s="1013"/>
      <c r="R98" s="1013"/>
      <c r="S98" s="1013"/>
    </row>
    <row r="99" spans="1:19" ht="12.75" hidden="1">
      <c r="A99" s="1048">
        <f t="shared" si="13"/>
        <v>9.239999999999995</v>
      </c>
      <c r="B99" s="1013"/>
      <c r="C99" s="1025">
        <f t="shared" si="14"/>
        <v>0</v>
      </c>
      <c r="D99" s="1025">
        <f t="shared" si="15"/>
        <v>0</v>
      </c>
      <c r="E99" s="1025"/>
      <c r="F99" s="1025"/>
      <c r="G99" s="1025">
        <f t="shared" si="12"/>
        <v>0</v>
      </c>
      <c r="H99" s="1025"/>
      <c r="I99" s="1025">
        <f t="shared" si="16"/>
        <v>0</v>
      </c>
      <c r="J99" s="1025">
        <f t="shared" si="16"/>
        <v>0</v>
      </c>
      <c r="K99" s="1025">
        <f t="shared" si="16"/>
        <v>0</v>
      </c>
      <c r="L99" s="1025"/>
      <c r="M99" s="1013"/>
      <c r="N99" s="1013"/>
      <c r="O99" s="1013"/>
      <c r="P99" s="1025"/>
      <c r="Q99" s="1013"/>
      <c r="R99" s="1013"/>
      <c r="S99" s="1013"/>
    </row>
    <row r="100" spans="1:19" ht="12.75" hidden="1">
      <c r="A100" s="1048">
        <f t="shared" si="13"/>
        <v>9.249999999999995</v>
      </c>
      <c r="B100" s="1013"/>
      <c r="C100" s="1025">
        <f t="shared" si="14"/>
        <v>0</v>
      </c>
      <c r="D100" s="1025">
        <f t="shared" si="15"/>
        <v>0</v>
      </c>
      <c r="E100" s="1025"/>
      <c r="F100" s="1025"/>
      <c r="G100" s="1025">
        <f>ROUND(SUM(C100:F100)/2,0)</f>
        <v>0</v>
      </c>
      <c r="H100" s="1025"/>
      <c r="I100" s="1025">
        <f t="shared" si="16"/>
        <v>0</v>
      </c>
      <c r="J100" s="1025">
        <f t="shared" si="16"/>
        <v>0</v>
      </c>
      <c r="K100" s="1025">
        <f t="shared" si="16"/>
        <v>0</v>
      </c>
      <c r="L100" s="1025"/>
      <c r="M100" s="1013"/>
      <c r="N100" s="1013"/>
      <c r="O100" s="1013"/>
      <c r="P100" s="1025"/>
      <c r="Q100" s="1013"/>
      <c r="R100" s="1013"/>
      <c r="S100" s="1013"/>
    </row>
    <row r="101" spans="1:19" ht="12.75" hidden="1">
      <c r="A101" s="1048">
        <f t="shared" si="13"/>
        <v>9.259999999999994</v>
      </c>
      <c r="B101" s="1013"/>
      <c r="C101" s="1025">
        <f t="shared" si="14"/>
        <v>0</v>
      </c>
      <c r="D101" s="1025">
        <f t="shared" si="15"/>
        <v>0</v>
      </c>
      <c r="E101" s="1025"/>
      <c r="F101" s="1025"/>
      <c r="G101" s="1025">
        <f t="shared" si="12"/>
        <v>0</v>
      </c>
      <c r="H101" s="1025"/>
      <c r="I101" s="1025">
        <f t="shared" si="16"/>
        <v>0</v>
      </c>
      <c r="J101" s="1025">
        <f t="shared" si="16"/>
        <v>0</v>
      </c>
      <c r="K101" s="1025">
        <f t="shared" si="16"/>
        <v>0</v>
      </c>
      <c r="L101" s="1025"/>
      <c r="M101" s="1013"/>
      <c r="N101" s="1013"/>
      <c r="O101" s="1013"/>
      <c r="P101" s="1025"/>
      <c r="Q101" s="1013"/>
      <c r="R101" s="1013"/>
      <c r="S101" s="1013"/>
    </row>
    <row r="102" spans="1:19" ht="12.75" hidden="1">
      <c r="A102" s="1048">
        <f t="shared" si="13"/>
        <v>9.269999999999994</v>
      </c>
      <c r="B102" s="1013"/>
      <c r="C102" s="1025">
        <f t="shared" si="14"/>
        <v>0</v>
      </c>
      <c r="D102" s="1025">
        <f t="shared" si="15"/>
        <v>0</v>
      </c>
      <c r="E102" s="1025"/>
      <c r="F102" s="1025"/>
      <c r="G102" s="1025">
        <f t="shared" si="12"/>
        <v>0</v>
      </c>
      <c r="H102" s="1025"/>
      <c r="I102" s="1025">
        <f t="shared" si="16"/>
        <v>0</v>
      </c>
      <c r="J102" s="1025">
        <f t="shared" si="16"/>
        <v>0</v>
      </c>
      <c r="K102" s="1025">
        <f t="shared" si="16"/>
        <v>0</v>
      </c>
      <c r="L102" s="1025"/>
      <c r="M102" s="1013"/>
      <c r="N102" s="1013"/>
      <c r="O102" s="1013"/>
      <c r="P102" s="1025"/>
      <c r="Q102" s="1013"/>
      <c r="R102" s="1013"/>
      <c r="S102" s="1013"/>
    </row>
    <row r="103" spans="1:19" ht="12.75" hidden="1">
      <c r="A103" s="1048">
        <f t="shared" si="13"/>
        <v>9.279999999999994</v>
      </c>
      <c r="B103" s="1013"/>
      <c r="C103" s="1025">
        <f t="shared" si="14"/>
        <v>0</v>
      </c>
      <c r="D103" s="1025">
        <f t="shared" si="15"/>
        <v>0</v>
      </c>
      <c r="E103" s="1025"/>
      <c r="F103" s="1025"/>
      <c r="G103" s="1025">
        <f>ROUND(SUM(C103:F103)/2,0)</f>
        <v>0</v>
      </c>
      <c r="H103" s="1025"/>
      <c r="I103" s="1025">
        <f t="shared" si="16"/>
        <v>0</v>
      </c>
      <c r="J103" s="1025">
        <f t="shared" si="16"/>
        <v>0</v>
      </c>
      <c r="K103" s="1025">
        <f t="shared" si="16"/>
        <v>0</v>
      </c>
      <c r="L103" s="1025"/>
      <c r="M103" s="1013"/>
      <c r="N103" s="1013"/>
      <c r="O103" s="1013"/>
      <c r="P103" s="1025"/>
      <c r="Q103" s="1013"/>
      <c r="R103" s="1013"/>
      <c r="S103" s="1013"/>
    </row>
    <row r="104" spans="1:19" ht="12.75" hidden="1">
      <c r="A104" s="1048">
        <f t="shared" si="13"/>
        <v>9.289999999999994</v>
      </c>
      <c r="B104" s="1013"/>
      <c r="C104" s="1025">
        <f t="shared" si="14"/>
        <v>0</v>
      </c>
      <c r="D104" s="1025">
        <f t="shared" si="15"/>
        <v>0</v>
      </c>
      <c r="E104" s="1025"/>
      <c r="F104" s="1025"/>
      <c r="G104" s="1025">
        <f t="shared" si="12"/>
        <v>0</v>
      </c>
      <c r="H104" s="1025"/>
      <c r="I104" s="1025">
        <f t="shared" si="16"/>
        <v>0</v>
      </c>
      <c r="J104" s="1025">
        <f t="shared" si="16"/>
        <v>0</v>
      </c>
      <c r="K104" s="1025">
        <f t="shared" si="16"/>
        <v>0</v>
      </c>
      <c r="L104" s="1025"/>
      <c r="M104" s="1013"/>
      <c r="N104" s="1013"/>
      <c r="O104" s="1013"/>
      <c r="P104" s="1025"/>
      <c r="Q104" s="1013"/>
      <c r="R104" s="1013"/>
      <c r="S104" s="1013"/>
    </row>
    <row r="105" spans="1:19" ht="12.75" hidden="1">
      <c r="A105" s="1048">
        <f t="shared" si="13"/>
        <v>9.299999999999994</v>
      </c>
      <c r="B105" s="1013"/>
      <c r="C105" s="1025">
        <f t="shared" si="14"/>
        <v>0</v>
      </c>
      <c r="D105" s="1025">
        <f t="shared" si="15"/>
        <v>0</v>
      </c>
      <c r="E105" s="1025"/>
      <c r="F105" s="1025"/>
      <c r="G105" s="1025">
        <f t="shared" si="12"/>
        <v>0</v>
      </c>
      <c r="H105" s="1025"/>
      <c r="I105" s="1025">
        <f t="shared" si="16"/>
        <v>0</v>
      </c>
      <c r="J105" s="1025">
        <f t="shared" si="16"/>
        <v>0</v>
      </c>
      <c r="K105" s="1025">
        <f t="shared" si="16"/>
        <v>0</v>
      </c>
      <c r="L105" s="1025"/>
      <c r="M105" s="1013"/>
      <c r="N105" s="1013"/>
      <c r="O105" s="1013"/>
      <c r="P105" s="1025"/>
      <c r="Q105" s="1013"/>
      <c r="R105" s="1013"/>
      <c r="S105" s="1013"/>
    </row>
    <row r="106" spans="1:19" ht="12.75" hidden="1">
      <c r="A106" s="1048">
        <f t="shared" si="13"/>
        <v>9.309999999999993</v>
      </c>
      <c r="B106" s="1013"/>
      <c r="C106" s="1029">
        <f t="shared" si="14"/>
        <v>0</v>
      </c>
      <c r="D106" s="1029">
        <f t="shared" si="15"/>
        <v>0</v>
      </c>
      <c r="E106" s="1029"/>
      <c r="F106" s="1029"/>
      <c r="G106" s="1029">
        <f t="shared" si="12"/>
        <v>0</v>
      </c>
      <c r="H106" s="1029"/>
      <c r="I106" s="1029">
        <f t="shared" si="16"/>
        <v>0</v>
      </c>
      <c r="J106" s="1029">
        <f t="shared" si="16"/>
        <v>0</v>
      </c>
      <c r="K106" s="1029">
        <f t="shared" si="16"/>
        <v>0</v>
      </c>
      <c r="L106" s="1029"/>
      <c r="M106" s="1013"/>
      <c r="N106" s="1013"/>
      <c r="O106" s="1013"/>
      <c r="P106" s="1029"/>
      <c r="Q106" s="1013"/>
      <c r="R106" s="1013"/>
      <c r="S106" s="1013"/>
    </row>
    <row r="107" spans="1:19" ht="12.75" hidden="1">
      <c r="A107" s="1048">
        <f t="shared" si="13"/>
        <v>9.319999999999993</v>
      </c>
      <c r="B107" s="1013"/>
      <c r="C107" s="1025">
        <f t="shared" si="14"/>
        <v>0</v>
      </c>
      <c r="D107" s="1025">
        <f t="shared" si="15"/>
        <v>0</v>
      </c>
      <c r="E107" s="1025"/>
      <c r="F107" s="1025"/>
      <c r="G107" s="1025">
        <f t="shared" si="12"/>
        <v>0</v>
      </c>
      <c r="H107" s="1025"/>
      <c r="I107" s="1025">
        <f t="shared" si="16"/>
        <v>0</v>
      </c>
      <c r="J107" s="1025">
        <f t="shared" si="16"/>
        <v>0</v>
      </c>
      <c r="K107" s="1025">
        <f t="shared" si="16"/>
        <v>0</v>
      </c>
      <c r="L107" s="1025"/>
      <c r="M107" s="1013"/>
      <c r="N107" s="1013"/>
      <c r="O107" s="1013"/>
      <c r="P107" s="1025"/>
      <c r="Q107" s="1013"/>
      <c r="R107" s="1013"/>
      <c r="S107" s="1013"/>
    </row>
    <row r="108" spans="1:19" ht="12.75" hidden="1">
      <c r="A108" s="1048">
        <f t="shared" si="13"/>
        <v>9.329999999999993</v>
      </c>
      <c r="B108" s="1013"/>
      <c r="C108" s="1025">
        <f t="shared" si="14"/>
        <v>0</v>
      </c>
      <c r="D108" s="1025">
        <f t="shared" si="15"/>
        <v>0</v>
      </c>
      <c r="E108" s="1025"/>
      <c r="F108" s="1025"/>
      <c r="G108" s="1025">
        <f t="shared" si="12"/>
        <v>0</v>
      </c>
      <c r="H108" s="1025"/>
      <c r="I108" s="1025">
        <f t="shared" si="16"/>
        <v>0</v>
      </c>
      <c r="J108" s="1025">
        <f t="shared" si="16"/>
        <v>0</v>
      </c>
      <c r="K108" s="1025">
        <f t="shared" si="16"/>
        <v>0</v>
      </c>
      <c r="L108" s="1025"/>
      <c r="M108" s="1013"/>
      <c r="N108" s="1013"/>
      <c r="O108" s="1013"/>
      <c r="P108" s="1025"/>
      <c r="Q108" s="1013"/>
      <c r="R108" s="1013"/>
      <c r="S108" s="1013"/>
    </row>
    <row r="109" spans="1:19" ht="12.75" hidden="1">
      <c r="A109" s="1048">
        <f t="shared" si="13"/>
        <v>9.339999999999993</v>
      </c>
      <c r="B109" s="1013"/>
      <c r="C109" s="1025">
        <f t="shared" si="14"/>
        <v>0</v>
      </c>
      <c r="D109" s="1025">
        <f t="shared" si="15"/>
        <v>0</v>
      </c>
      <c r="E109" s="1025"/>
      <c r="F109" s="1025"/>
      <c r="G109" s="1025">
        <f t="shared" si="12"/>
        <v>0</v>
      </c>
      <c r="H109" s="1025"/>
      <c r="I109" s="1025">
        <f t="shared" si="16"/>
        <v>0</v>
      </c>
      <c r="J109" s="1025">
        <f t="shared" si="16"/>
        <v>0</v>
      </c>
      <c r="K109" s="1025">
        <f t="shared" si="16"/>
        <v>0</v>
      </c>
      <c r="L109" s="1025"/>
      <c r="M109" s="1013"/>
      <c r="N109" s="1013"/>
      <c r="O109" s="1013"/>
      <c r="P109" s="1025"/>
      <c r="Q109" s="1013"/>
      <c r="R109" s="1013"/>
      <c r="S109" s="1013"/>
    </row>
    <row r="110" spans="1:19" ht="12.75" hidden="1">
      <c r="A110" s="1048">
        <f t="shared" si="13"/>
        <v>9.349999999999993</v>
      </c>
      <c r="B110" s="1013"/>
      <c r="C110" s="1025">
        <f t="shared" si="14"/>
        <v>0</v>
      </c>
      <c r="D110" s="1025">
        <f t="shared" si="15"/>
        <v>0</v>
      </c>
      <c r="E110" s="1025"/>
      <c r="F110" s="1025"/>
      <c r="G110" s="1025">
        <f t="shared" si="12"/>
        <v>0</v>
      </c>
      <c r="H110" s="1025"/>
      <c r="I110" s="1025">
        <f t="shared" si="16"/>
        <v>0</v>
      </c>
      <c r="J110" s="1025">
        <f t="shared" si="16"/>
        <v>0</v>
      </c>
      <c r="K110" s="1025">
        <f t="shared" si="16"/>
        <v>0</v>
      </c>
      <c r="L110" s="1025"/>
      <c r="M110" s="1013"/>
      <c r="N110" s="1013"/>
      <c r="O110" s="1013"/>
      <c r="P110" s="1025"/>
      <c r="Q110" s="1013"/>
      <c r="R110" s="1013"/>
      <c r="S110" s="1013"/>
    </row>
    <row r="111" spans="1:19" ht="12.75" hidden="1">
      <c r="A111" s="1048">
        <f t="shared" si="13"/>
        <v>9.359999999999992</v>
      </c>
      <c r="B111" s="1013"/>
      <c r="C111" s="1025">
        <f t="shared" si="14"/>
        <v>0</v>
      </c>
      <c r="D111" s="1025">
        <f t="shared" si="15"/>
        <v>0</v>
      </c>
      <c r="E111" s="1025"/>
      <c r="F111" s="1025"/>
      <c r="G111" s="1025">
        <f t="shared" si="12"/>
        <v>0</v>
      </c>
      <c r="H111" s="1025"/>
      <c r="I111" s="1025">
        <f t="shared" si="16"/>
        <v>0</v>
      </c>
      <c r="J111" s="1025">
        <f t="shared" si="16"/>
        <v>0</v>
      </c>
      <c r="K111" s="1025">
        <f t="shared" si="16"/>
        <v>0</v>
      </c>
      <c r="L111" s="1025"/>
      <c r="M111" s="1013"/>
      <c r="N111" s="1013"/>
      <c r="O111" s="1013"/>
      <c r="P111" s="1025"/>
      <c r="Q111" s="1013"/>
      <c r="R111" s="1013"/>
      <c r="S111" s="1013"/>
    </row>
    <row r="112" spans="1:19" ht="12.75" hidden="1">
      <c r="A112" s="1048">
        <f t="shared" si="13"/>
        <v>9.369999999999992</v>
      </c>
      <c r="B112" s="1013"/>
      <c r="C112" s="1025">
        <f t="shared" si="14"/>
        <v>0</v>
      </c>
      <c r="D112" s="1025">
        <f t="shared" si="15"/>
        <v>0</v>
      </c>
      <c r="E112" s="1025"/>
      <c r="F112" s="1025"/>
      <c r="G112" s="1025">
        <f t="shared" si="12"/>
        <v>0</v>
      </c>
      <c r="H112" s="1025"/>
      <c r="I112" s="1025">
        <f t="shared" si="16"/>
        <v>0</v>
      </c>
      <c r="J112" s="1025">
        <f t="shared" si="16"/>
        <v>0</v>
      </c>
      <c r="K112" s="1025">
        <f t="shared" si="16"/>
        <v>0</v>
      </c>
      <c r="L112" s="1025"/>
      <c r="M112" s="1013"/>
      <c r="N112" s="1013"/>
      <c r="O112" s="1013"/>
      <c r="P112" s="1025"/>
      <c r="Q112" s="1013"/>
      <c r="R112" s="1013"/>
      <c r="S112" s="1013"/>
    </row>
    <row r="113" spans="1:19" ht="12.75" hidden="1">
      <c r="A113" s="1048">
        <f t="shared" si="13"/>
        <v>9.379999999999992</v>
      </c>
      <c r="B113" s="1013"/>
      <c r="C113" s="1025">
        <f t="shared" si="14"/>
        <v>0</v>
      </c>
      <c r="D113" s="1025">
        <f t="shared" si="15"/>
        <v>0</v>
      </c>
      <c r="E113" s="1025"/>
      <c r="F113" s="1025"/>
      <c r="G113" s="1025">
        <f t="shared" si="12"/>
        <v>0</v>
      </c>
      <c r="H113" s="1025"/>
      <c r="I113" s="1025">
        <f t="shared" si="16"/>
        <v>0</v>
      </c>
      <c r="J113" s="1025">
        <f t="shared" si="16"/>
        <v>0</v>
      </c>
      <c r="K113" s="1025">
        <f t="shared" si="16"/>
        <v>0</v>
      </c>
      <c r="L113" s="1025"/>
      <c r="M113" s="1013"/>
      <c r="N113" s="1013"/>
      <c r="O113" s="1013"/>
      <c r="P113" s="1025"/>
      <c r="Q113" s="1013"/>
      <c r="R113" s="1013"/>
      <c r="S113" s="1013"/>
    </row>
    <row r="114" spans="1:19" ht="12.75" hidden="1">
      <c r="A114" s="1048">
        <f t="shared" si="13"/>
        <v>9.389999999999992</v>
      </c>
      <c r="B114" s="1013"/>
      <c r="C114" s="1025">
        <f t="shared" si="14"/>
        <v>0</v>
      </c>
      <c r="D114" s="1025">
        <f t="shared" si="15"/>
        <v>0</v>
      </c>
      <c r="E114" s="1025"/>
      <c r="F114" s="1025"/>
      <c r="G114" s="1025">
        <f t="shared" si="12"/>
        <v>0</v>
      </c>
      <c r="H114" s="1025"/>
      <c r="I114" s="1025">
        <f t="shared" si="16"/>
        <v>0</v>
      </c>
      <c r="J114" s="1025">
        <f t="shared" si="16"/>
        <v>0</v>
      </c>
      <c r="K114" s="1025">
        <f t="shared" si="16"/>
        <v>0</v>
      </c>
      <c r="L114" s="1025"/>
      <c r="M114" s="1013"/>
      <c r="N114" s="1013"/>
      <c r="O114" s="1013"/>
      <c r="P114" s="1025"/>
      <c r="Q114" s="1013"/>
      <c r="R114" s="1013"/>
      <c r="S114" s="1013"/>
    </row>
    <row r="115" spans="1:19" ht="12.75" hidden="1">
      <c r="A115" s="1048">
        <f t="shared" si="13"/>
        <v>9.399999999999991</v>
      </c>
      <c r="B115" s="1013"/>
      <c r="C115" s="1025">
        <f t="shared" si="14"/>
        <v>0</v>
      </c>
      <c r="D115" s="1025">
        <f t="shared" si="15"/>
        <v>0</v>
      </c>
      <c r="E115" s="1025"/>
      <c r="F115" s="1025"/>
      <c r="G115" s="1025">
        <f t="shared" si="12"/>
        <v>0</v>
      </c>
      <c r="H115" s="1025"/>
      <c r="I115" s="1025">
        <f t="shared" si="16"/>
        <v>0</v>
      </c>
      <c r="J115" s="1025">
        <f t="shared" si="16"/>
        <v>0</v>
      </c>
      <c r="K115" s="1025">
        <f t="shared" si="16"/>
        <v>0</v>
      </c>
      <c r="L115" s="1025"/>
      <c r="M115" s="1013"/>
      <c r="N115" s="1013"/>
      <c r="O115" s="1013"/>
      <c r="P115" s="1025"/>
      <c r="Q115" s="1013"/>
      <c r="R115" s="1013"/>
      <c r="S115" s="1013"/>
    </row>
    <row r="116" spans="1:19" ht="12.75" hidden="1">
      <c r="A116" s="1048">
        <f t="shared" si="13"/>
        <v>9.409999999999991</v>
      </c>
      <c r="B116" s="1013"/>
      <c r="C116" s="1025">
        <f t="shared" si="14"/>
        <v>0</v>
      </c>
      <c r="D116" s="1025">
        <f t="shared" si="15"/>
        <v>0</v>
      </c>
      <c r="E116" s="1025"/>
      <c r="F116" s="1025"/>
      <c r="G116" s="1025">
        <f t="shared" si="12"/>
        <v>0</v>
      </c>
      <c r="H116" s="1025"/>
      <c r="I116" s="1025">
        <f t="shared" si="16"/>
        <v>0</v>
      </c>
      <c r="J116" s="1025">
        <f t="shared" si="16"/>
        <v>0</v>
      </c>
      <c r="K116" s="1025">
        <f t="shared" si="16"/>
        <v>0</v>
      </c>
      <c r="L116" s="1025"/>
      <c r="M116" s="1013"/>
      <c r="N116" s="1013"/>
      <c r="O116" s="1013"/>
      <c r="P116" s="1025"/>
      <c r="Q116" s="1013"/>
      <c r="R116" s="1013"/>
      <c r="S116" s="1013"/>
    </row>
    <row r="117" spans="1:19" ht="12.75" hidden="1">
      <c r="A117" s="1048">
        <f t="shared" si="13"/>
        <v>9.419999999999991</v>
      </c>
      <c r="B117" s="1013"/>
      <c r="C117" s="1025">
        <f t="shared" si="14"/>
        <v>0</v>
      </c>
      <c r="D117" s="1025">
        <f t="shared" si="15"/>
        <v>0</v>
      </c>
      <c r="E117" s="1025"/>
      <c r="F117" s="1025"/>
      <c r="G117" s="1025">
        <f t="shared" si="12"/>
        <v>0</v>
      </c>
      <c r="H117" s="1025"/>
      <c r="I117" s="1025">
        <f t="shared" si="16"/>
        <v>0</v>
      </c>
      <c r="J117" s="1025">
        <f t="shared" si="16"/>
        <v>0</v>
      </c>
      <c r="K117" s="1025">
        <f t="shared" si="16"/>
        <v>0</v>
      </c>
      <c r="L117" s="1025"/>
      <c r="M117" s="1013"/>
      <c r="N117" s="1013"/>
      <c r="O117" s="1013"/>
      <c r="P117" s="1025"/>
      <c r="Q117" s="1013"/>
      <c r="R117" s="1013"/>
      <c r="S117" s="1013"/>
    </row>
    <row r="118" spans="1:19" ht="12.75" hidden="1">
      <c r="A118" s="1048">
        <f t="shared" si="13"/>
        <v>9.42999999999999</v>
      </c>
      <c r="B118" s="1013"/>
      <c r="C118" s="1025">
        <f t="shared" si="14"/>
        <v>0</v>
      </c>
      <c r="D118" s="1025">
        <f t="shared" si="15"/>
        <v>0</v>
      </c>
      <c r="E118" s="1025"/>
      <c r="F118" s="1025"/>
      <c r="G118" s="1025">
        <f t="shared" si="12"/>
        <v>0</v>
      </c>
      <c r="H118" s="1025"/>
      <c r="I118" s="1025">
        <f t="shared" si="16"/>
        <v>0</v>
      </c>
      <c r="J118" s="1025">
        <f t="shared" si="16"/>
        <v>0</v>
      </c>
      <c r="K118" s="1025">
        <f t="shared" si="16"/>
        <v>0</v>
      </c>
      <c r="L118" s="1025"/>
      <c r="M118" s="1013"/>
      <c r="N118" s="1013"/>
      <c r="O118" s="1013"/>
      <c r="P118" s="1025"/>
      <c r="Q118" s="1013"/>
      <c r="R118" s="1013"/>
      <c r="S118" s="1013"/>
    </row>
    <row r="119" spans="1:19" ht="12.75" hidden="1">
      <c r="A119" s="1048">
        <f t="shared" si="13"/>
        <v>9.43999999999999</v>
      </c>
      <c r="B119" s="1013"/>
      <c r="C119" s="1025">
        <f t="shared" si="14"/>
        <v>0</v>
      </c>
      <c r="D119" s="1025">
        <f t="shared" si="15"/>
        <v>0</v>
      </c>
      <c r="E119" s="1025"/>
      <c r="F119" s="1025"/>
      <c r="G119" s="1025">
        <f t="shared" si="12"/>
        <v>0</v>
      </c>
      <c r="H119" s="1025"/>
      <c r="I119" s="1025">
        <f t="shared" si="16"/>
        <v>0</v>
      </c>
      <c r="J119" s="1025">
        <f t="shared" si="16"/>
        <v>0</v>
      </c>
      <c r="K119" s="1025">
        <f t="shared" si="16"/>
        <v>0</v>
      </c>
      <c r="L119" s="1025"/>
      <c r="M119" s="1013"/>
      <c r="N119" s="1013"/>
      <c r="O119" s="1013"/>
      <c r="P119" s="1025"/>
      <c r="Q119" s="1013"/>
      <c r="R119" s="1013"/>
      <c r="S119" s="1013"/>
    </row>
    <row r="120" spans="1:19" ht="12.75" hidden="1">
      <c r="A120" s="1048">
        <f t="shared" si="13"/>
        <v>9.44999999999999</v>
      </c>
      <c r="B120" s="1013"/>
      <c r="C120" s="1025">
        <f t="shared" si="14"/>
        <v>0</v>
      </c>
      <c r="D120" s="1025">
        <f t="shared" si="15"/>
        <v>0</v>
      </c>
      <c r="E120" s="1025"/>
      <c r="F120" s="1025"/>
      <c r="G120" s="1025">
        <f t="shared" si="12"/>
        <v>0</v>
      </c>
      <c r="H120" s="1025"/>
      <c r="I120" s="1025">
        <f t="shared" si="16"/>
        <v>0</v>
      </c>
      <c r="J120" s="1025">
        <f t="shared" si="16"/>
        <v>0</v>
      </c>
      <c r="K120" s="1025">
        <f t="shared" si="16"/>
        <v>0</v>
      </c>
      <c r="L120" s="1025"/>
      <c r="M120" s="1013"/>
      <c r="N120" s="1013"/>
      <c r="O120" s="1013"/>
      <c r="P120" s="1025"/>
      <c r="Q120" s="1013"/>
      <c r="R120" s="1013"/>
      <c r="S120" s="1013"/>
    </row>
    <row r="121" spans="1:19" ht="12.75" hidden="1">
      <c r="A121" s="1048">
        <f t="shared" si="13"/>
        <v>9.45999999999999</v>
      </c>
      <c r="B121" s="1013"/>
      <c r="C121" s="1025">
        <f t="shared" si="14"/>
        <v>0</v>
      </c>
      <c r="D121" s="1025">
        <f t="shared" si="15"/>
        <v>0</v>
      </c>
      <c r="E121" s="1025"/>
      <c r="F121" s="1025"/>
      <c r="G121" s="1025">
        <f t="shared" si="12"/>
        <v>0</v>
      </c>
      <c r="H121" s="1025"/>
      <c r="I121" s="1025">
        <f t="shared" si="16"/>
        <v>0</v>
      </c>
      <c r="J121" s="1025">
        <f t="shared" si="16"/>
        <v>0</v>
      </c>
      <c r="K121" s="1025">
        <f t="shared" si="16"/>
        <v>0</v>
      </c>
      <c r="L121" s="1025"/>
      <c r="M121" s="1013"/>
      <c r="N121" s="1013"/>
      <c r="O121" s="1013"/>
      <c r="P121" s="1025"/>
      <c r="Q121" s="1013"/>
      <c r="R121" s="1013"/>
      <c r="S121" s="1013"/>
    </row>
    <row r="122" spans="1:19" ht="12.75" hidden="1">
      <c r="A122" s="1048">
        <f t="shared" si="13"/>
        <v>9.46999999999999</v>
      </c>
      <c r="B122" s="1013"/>
      <c r="C122" s="1025">
        <f t="shared" si="14"/>
        <v>0</v>
      </c>
      <c r="D122" s="1025">
        <f t="shared" si="15"/>
        <v>0</v>
      </c>
      <c r="E122" s="1025"/>
      <c r="F122" s="1025"/>
      <c r="G122" s="1025">
        <f t="shared" si="12"/>
        <v>0</v>
      </c>
      <c r="H122" s="1025"/>
      <c r="I122" s="1025">
        <f t="shared" si="16"/>
        <v>0</v>
      </c>
      <c r="J122" s="1025">
        <f t="shared" si="16"/>
        <v>0</v>
      </c>
      <c r="K122" s="1025">
        <f t="shared" si="16"/>
        <v>0</v>
      </c>
      <c r="L122" s="1025"/>
      <c r="M122" s="1013"/>
      <c r="N122" s="1013"/>
      <c r="O122" s="1013"/>
      <c r="P122" s="1025"/>
      <c r="Q122" s="1013"/>
      <c r="R122" s="1013"/>
      <c r="S122" s="1013"/>
    </row>
    <row r="123" spans="1:19" ht="12.75" hidden="1">
      <c r="A123" s="1048">
        <f t="shared" si="13"/>
        <v>9.47999999999999</v>
      </c>
      <c r="B123" s="1013"/>
      <c r="C123" s="1025">
        <f t="shared" si="14"/>
        <v>0</v>
      </c>
      <c r="D123" s="1025">
        <f t="shared" si="15"/>
        <v>0</v>
      </c>
      <c r="E123" s="1025"/>
      <c r="F123" s="1025"/>
      <c r="G123" s="1025">
        <f t="shared" si="12"/>
        <v>0</v>
      </c>
      <c r="H123" s="1025"/>
      <c r="I123" s="1025">
        <f t="shared" si="16"/>
        <v>0</v>
      </c>
      <c r="J123" s="1025">
        <f t="shared" si="16"/>
        <v>0</v>
      </c>
      <c r="K123" s="1025">
        <f t="shared" si="16"/>
        <v>0</v>
      </c>
      <c r="L123" s="1025"/>
      <c r="M123" s="1013"/>
      <c r="N123" s="1013"/>
      <c r="O123" s="1013"/>
      <c r="P123" s="1025"/>
      <c r="Q123" s="1013"/>
      <c r="R123" s="1013"/>
      <c r="S123" s="1013"/>
    </row>
    <row r="124" spans="1:19" ht="12.75" hidden="1">
      <c r="A124" s="1048">
        <f t="shared" si="13"/>
        <v>9.48999999999999</v>
      </c>
      <c r="B124" s="1013"/>
      <c r="C124" s="1025">
        <f t="shared" si="14"/>
        <v>0</v>
      </c>
      <c r="D124" s="1025">
        <f t="shared" si="15"/>
        <v>0</v>
      </c>
      <c r="E124" s="1025"/>
      <c r="F124" s="1025"/>
      <c r="G124" s="1025">
        <f t="shared" si="12"/>
        <v>0</v>
      </c>
      <c r="H124" s="1025"/>
      <c r="I124" s="1025">
        <f t="shared" si="16"/>
        <v>0</v>
      </c>
      <c r="J124" s="1025">
        <f t="shared" si="16"/>
        <v>0</v>
      </c>
      <c r="K124" s="1025">
        <f t="shared" si="16"/>
        <v>0</v>
      </c>
      <c r="L124" s="1025"/>
      <c r="M124" s="1013"/>
      <c r="N124" s="1013"/>
      <c r="O124" s="1013"/>
      <c r="P124" s="1025"/>
      <c r="Q124" s="1013"/>
      <c r="R124" s="1013"/>
      <c r="S124" s="1013"/>
    </row>
    <row r="125" spans="1:19" ht="12.75" hidden="1">
      <c r="A125" s="1048">
        <f t="shared" si="13"/>
        <v>9.49999999999999</v>
      </c>
      <c r="B125" s="1013"/>
      <c r="C125" s="1025">
        <f t="shared" si="14"/>
        <v>0</v>
      </c>
      <c r="D125" s="1025">
        <f t="shared" si="15"/>
        <v>0</v>
      </c>
      <c r="E125" s="1025"/>
      <c r="F125" s="1025"/>
      <c r="G125" s="1025">
        <f t="shared" si="12"/>
        <v>0</v>
      </c>
      <c r="H125" s="1025"/>
      <c r="I125" s="1025">
        <f t="shared" si="16"/>
        <v>0</v>
      </c>
      <c r="J125" s="1025">
        <f t="shared" si="16"/>
        <v>0</v>
      </c>
      <c r="K125" s="1025">
        <f t="shared" si="16"/>
        <v>0</v>
      </c>
      <c r="L125" s="1025"/>
      <c r="M125" s="1013"/>
      <c r="N125" s="1013"/>
      <c r="O125" s="1013"/>
      <c r="P125" s="1025"/>
      <c r="Q125" s="1013"/>
      <c r="R125" s="1013"/>
      <c r="S125" s="1013"/>
    </row>
    <row r="126" spans="1:19" ht="12.75" hidden="1">
      <c r="A126" s="1048">
        <f t="shared" si="13"/>
        <v>9.50999999999999</v>
      </c>
      <c r="B126" s="1013"/>
      <c r="C126" s="1025">
        <f t="shared" si="14"/>
        <v>0</v>
      </c>
      <c r="D126" s="1025">
        <f t="shared" si="15"/>
        <v>0</v>
      </c>
      <c r="E126" s="1025"/>
      <c r="F126" s="1025"/>
      <c r="G126" s="1025">
        <f t="shared" si="12"/>
        <v>0</v>
      </c>
      <c r="H126" s="1025"/>
      <c r="I126" s="1025">
        <f t="shared" si="16"/>
        <v>0</v>
      </c>
      <c r="J126" s="1025">
        <f t="shared" si="16"/>
        <v>0</v>
      </c>
      <c r="K126" s="1025">
        <f t="shared" si="16"/>
        <v>0</v>
      </c>
      <c r="L126" s="1025"/>
      <c r="M126" s="1013"/>
      <c r="N126" s="1013"/>
      <c r="O126" s="1013"/>
      <c r="P126" s="1025"/>
      <c r="Q126" s="1013"/>
      <c r="R126" s="1013"/>
      <c r="S126" s="1013"/>
    </row>
    <row r="127" spans="1:19" ht="12.75" hidden="1">
      <c r="A127" s="1048">
        <f t="shared" si="13"/>
        <v>9.519999999999989</v>
      </c>
      <c r="B127" s="1013"/>
      <c r="C127" s="1025">
        <f t="shared" si="14"/>
        <v>0</v>
      </c>
      <c r="D127" s="1025">
        <f t="shared" si="15"/>
        <v>0</v>
      </c>
      <c r="E127" s="1025"/>
      <c r="F127" s="1025"/>
      <c r="G127" s="1025">
        <f t="shared" si="12"/>
        <v>0</v>
      </c>
      <c r="H127" s="1025"/>
      <c r="I127" s="1025">
        <f t="shared" si="16"/>
        <v>0</v>
      </c>
      <c r="J127" s="1025">
        <f t="shared" si="16"/>
        <v>0</v>
      </c>
      <c r="K127" s="1025">
        <f t="shared" si="16"/>
        <v>0</v>
      </c>
      <c r="L127" s="1025"/>
      <c r="M127" s="1013"/>
      <c r="N127" s="1013"/>
      <c r="O127" s="1013"/>
      <c r="P127" s="1025"/>
      <c r="Q127" s="1013"/>
      <c r="R127" s="1013"/>
      <c r="S127" s="1013"/>
    </row>
    <row r="128" spans="1:19" ht="12.75" hidden="1">
      <c r="A128" s="1048">
        <f t="shared" si="13"/>
        <v>9.529999999999989</v>
      </c>
      <c r="B128" s="1013"/>
      <c r="C128" s="1025">
        <f t="shared" si="14"/>
        <v>0</v>
      </c>
      <c r="D128" s="1025">
        <f t="shared" si="15"/>
        <v>0</v>
      </c>
      <c r="E128" s="1025"/>
      <c r="F128" s="1025"/>
      <c r="G128" s="1025">
        <f t="shared" si="12"/>
        <v>0</v>
      </c>
      <c r="H128" s="1025"/>
      <c r="I128" s="1025">
        <f t="shared" si="16"/>
        <v>0</v>
      </c>
      <c r="J128" s="1025">
        <f t="shared" si="16"/>
        <v>0</v>
      </c>
      <c r="K128" s="1025">
        <f t="shared" si="16"/>
        <v>0</v>
      </c>
      <c r="L128" s="1025"/>
      <c r="M128" s="1013"/>
      <c r="N128" s="1013"/>
      <c r="O128" s="1013"/>
      <c r="P128" s="1025"/>
      <c r="Q128" s="1013"/>
      <c r="R128" s="1013"/>
      <c r="S128" s="1013"/>
    </row>
    <row r="129" spans="1:19" ht="12.75" hidden="1">
      <c r="A129" s="1048">
        <f t="shared" si="13"/>
        <v>9.539999999999988</v>
      </c>
      <c r="B129" s="1013"/>
      <c r="C129" s="1025">
        <f t="shared" si="14"/>
        <v>0</v>
      </c>
      <c r="D129" s="1025">
        <f t="shared" si="15"/>
        <v>0</v>
      </c>
      <c r="E129" s="1025"/>
      <c r="F129" s="1025"/>
      <c r="G129" s="1025">
        <f t="shared" si="12"/>
        <v>0</v>
      </c>
      <c r="H129" s="1025"/>
      <c r="I129" s="1025">
        <f t="shared" si="16"/>
        <v>0</v>
      </c>
      <c r="J129" s="1025">
        <f t="shared" si="16"/>
        <v>0</v>
      </c>
      <c r="K129" s="1025">
        <f t="shared" si="16"/>
        <v>0</v>
      </c>
      <c r="L129" s="1025"/>
      <c r="M129" s="1013"/>
      <c r="N129" s="1013"/>
      <c r="O129" s="1013"/>
      <c r="P129" s="1025"/>
      <c r="Q129" s="1013"/>
      <c r="R129" s="1013"/>
      <c r="S129" s="1013"/>
    </row>
    <row r="130" spans="1:19" ht="12.75" hidden="1">
      <c r="A130" s="1048">
        <f t="shared" si="13"/>
        <v>9.549999999999988</v>
      </c>
      <c r="B130" s="1013"/>
      <c r="C130" s="1025">
        <f t="shared" si="14"/>
        <v>0</v>
      </c>
      <c r="D130" s="1025">
        <f t="shared" si="15"/>
        <v>0</v>
      </c>
      <c r="E130" s="1025"/>
      <c r="F130" s="1025"/>
      <c r="G130" s="1025">
        <f t="shared" si="12"/>
        <v>0</v>
      </c>
      <c r="H130" s="1025"/>
      <c r="I130" s="1025">
        <f t="shared" si="16"/>
        <v>0</v>
      </c>
      <c r="J130" s="1025">
        <f t="shared" si="16"/>
        <v>0</v>
      </c>
      <c r="K130" s="1025">
        <f t="shared" si="16"/>
        <v>0</v>
      </c>
      <c r="L130" s="1025"/>
      <c r="M130" s="1013"/>
      <c r="N130" s="1013"/>
      <c r="O130" s="1013"/>
      <c r="P130" s="1025"/>
      <c r="Q130" s="1013"/>
      <c r="R130" s="1013"/>
      <c r="S130" s="1013"/>
    </row>
    <row r="131" spans="1:19" ht="12.75" hidden="1">
      <c r="A131" s="1048">
        <f t="shared" si="13"/>
        <v>9.559999999999988</v>
      </c>
      <c r="B131" s="1013"/>
      <c r="C131" s="1025">
        <f t="shared" si="14"/>
        <v>0</v>
      </c>
      <c r="D131" s="1025">
        <f t="shared" si="15"/>
        <v>0</v>
      </c>
      <c r="E131" s="1025"/>
      <c r="F131" s="1025"/>
      <c r="G131" s="1025">
        <f>ROUND(SUM(C131:F131)/2,0)</f>
        <v>0</v>
      </c>
      <c r="H131" s="1025"/>
      <c r="I131" s="1025">
        <f t="shared" si="16"/>
        <v>0</v>
      </c>
      <c r="J131" s="1025">
        <f t="shared" si="16"/>
        <v>0</v>
      </c>
      <c r="K131" s="1025">
        <f t="shared" si="16"/>
        <v>0</v>
      </c>
      <c r="L131" s="1025"/>
      <c r="M131" s="1013"/>
      <c r="N131" s="1013"/>
      <c r="O131" s="1013"/>
      <c r="P131" s="1025"/>
      <c r="Q131" s="1013"/>
      <c r="R131" s="1013"/>
      <c r="S131" s="1013"/>
    </row>
    <row r="132" spans="1:19" ht="12.75" hidden="1">
      <c r="A132" s="1048">
        <f t="shared" si="13"/>
        <v>9.569999999999988</v>
      </c>
      <c r="B132" s="1013"/>
      <c r="C132" s="1025">
        <f t="shared" si="14"/>
        <v>0</v>
      </c>
      <c r="D132" s="1025">
        <f t="shared" si="15"/>
        <v>0</v>
      </c>
      <c r="E132" s="1025"/>
      <c r="F132" s="1025"/>
      <c r="G132" s="1025">
        <f>ROUND(SUM(C132:F132)/2,0)</f>
        <v>0</v>
      </c>
      <c r="H132" s="1025"/>
      <c r="I132" s="1025">
        <f t="shared" si="16"/>
        <v>0</v>
      </c>
      <c r="J132" s="1025">
        <f t="shared" si="16"/>
        <v>0</v>
      </c>
      <c r="K132" s="1025">
        <f t="shared" si="16"/>
        <v>0</v>
      </c>
      <c r="L132" s="1025"/>
      <c r="M132" s="1013"/>
      <c r="N132" s="1013"/>
      <c r="O132" s="1013"/>
      <c r="P132" s="1025"/>
      <c r="Q132" s="1013"/>
      <c r="R132" s="1013"/>
      <c r="S132" s="1013"/>
    </row>
    <row r="133" spans="1:19" ht="12.75" hidden="1">
      <c r="A133" s="1048">
        <f t="shared" si="13"/>
        <v>9.579999999999988</v>
      </c>
      <c r="B133" s="1013"/>
      <c r="C133" s="1025">
        <f t="shared" si="14"/>
        <v>0</v>
      </c>
      <c r="D133" s="1025">
        <f t="shared" si="15"/>
        <v>0</v>
      </c>
      <c r="E133" s="1025"/>
      <c r="F133" s="1025"/>
      <c r="G133" s="1025">
        <f>ROUND(SUM(C133:F133)/2,0)</f>
        <v>0</v>
      </c>
      <c r="H133" s="1025"/>
      <c r="I133" s="1025">
        <f t="shared" si="16"/>
        <v>0</v>
      </c>
      <c r="J133" s="1025">
        <f t="shared" si="16"/>
        <v>0</v>
      </c>
      <c r="K133" s="1025">
        <f t="shared" si="16"/>
        <v>0</v>
      </c>
      <c r="L133" s="1025"/>
      <c r="M133" s="1013"/>
      <c r="N133" s="1013"/>
      <c r="O133" s="1013"/>
      <c r="P133" s="1025"/>
      <c r="Q133" s="1013"/>
      <c r="R133" s="1013"/>
      <c r="S133" s="1013"/>
    </row>
    <row r="134" spans="1:19" ht="12.75" hidden="1">
      <c r="A134" s="1048">
        <f t="shared" si="13"/>
        <v>9.589999999999987</v>
      </c>
      <c r="B134" s="1013"/>
      <c r="C134" s="1025">
        <f t="shared" si="14"/>
        <v>0</v>
      </c>
      <c r="D134" s="1025">
        <f t="shared" si="15"/>
        <v>0</v>
      </c>
      <c r="E134" s="1025"/>
      <c r="F134" s="1025"/>
      <c r="G134" s="1025">
        <f aca="true" t="shared" si="17" ref="G134:G174">ROUND(SUM(C134:F134)/2,0)</f>
        <v>0</v>
      </c>
      <c r="H134" s="1025"/>
      <c r="I134" s="1025">
        <f t="shared" si="16"/>
        <v>0</v>
      </c>
      <c r="J134" s="1025">
        <f t="shared" si="16"/>
        <v>0</v>
      </c>
      <c r="K134" s="1025">
        <f t="shared" si="16"/>
        <v>0</v>
      </c>
      <c r="L134" s="1025"/>
      <c r="M134" s="1013"/>
      <c r="N134" s="1013"/>
      <c r="O134" s="1013"/>
      <c r="P134" s="1025"/>
      <c r="Q134" s="1013"/>
      <c r="R134" s="1013"/>
      <c r="S134" s="1013"/>
    </row>
    <row r="135" spans="1:19" ht="12.75" hidden="1">
      <c r="A135" s="1048">
        <f t="shared" si="13"/>
        <v>9.599999999999987</v>
      </c>
      <c r="B135" s="1013"/>
      <c r="C135" s="1025">
        <f t="shared" si="14"/>
        <v>0</v>
      </c>
      <c r="D135" s="1025">
        <f t="shared" si="15"/>
        <v>0</v>
      </c>
      <c r="E135" s="1025"/>
      <c r="F135" s="1025"/>
      <c r="G135" s="1025">
        <f t="shared" si="17"/>
        <v>0</v>
      </c>
      <c r="H135" s="1025"/>
      <c r="I135" s="1025">
        <f t="shared" si="16"/>
        <v>0</v>
      </c>
      <c r="J135" s="1025">
        <f t="shared" si="16"/>
        <v>0</v>
      </c>
      <c r="K135" s="1025">
        <f t="shared" si="16"/>
        <v>0</v>
      </c>
      <c r="L135" s="1025"/>
      <c r="M135" s="1013"/>
      <c r="N135" s="1013"/>
      <c r="O135" s="1013"/>
      <c r="P135" s="1025"/>
      <c r="Q135" s="1013"/>
      <c r="R135" s="1013"/>
      <c r="S135" s="1013"/>
    </row>
    <row r="136" spans="1:19" ht="12.75" hidden="1">
      <c r="A136" s="1048">
        <f t="shared" si="13"/>
        <v>9.609999999999987</v>
      </c>
      <c r="B136" s="1013"/>
      <c r="C136" s="1025">
        <f t="shared" si="14"/>
        <v>0</v>
      </c>
      <c r="D136" s="1025">
        <f t="shared" si="15"/>
        <v>0</v>
      </c>
      <c r="E136" s="1025"/>
      <c r="F136" s="1025"/>
      <c r="G136" s="1025">
        <f t="shared" si="17"/>
        <v>0</v>
      </c>
      <c r="H136" s="1025"/>
      <c r="I136" s="1025">
        <f t="shared" si="16"/>
        <v>0</v>
      </c>
      <c r="J136" s="1025">
        <f t="shared" si="16"/>
        <v>0</v>
      </c>
      <c r="K136" s="1025">
        <f t="shared" si="16"/>
        <v>0</v>
      </c>
      <c r="L136" s="1025"/>
      <c r="M136" s="1013"/>
      <c r="N136" s="1013"/>
      <c r="O136" s="1013"/>
      <c r="P136" s="1025"/>
      <c r="Q136" s="1013"/>
      <c r="R136" s="1013"/>
      <c r="S136" s="1013"/>
    </row>
    <row r="137" spans="1:19" ht="12.75" hidden="1">
      <c r="A137" s="1048">
        <f t="shared" si="13"/>
        <v>9.619999999999987</v>
      </c>
      <c r="B137" s="1013"/>
      <c r="C137" s="1025">
        <f t="shared" si="14"/>
        <v>0</v>
      </c>
      <c r="D137" s="1025">
        <f t="shared" si="15"/>
        <v>0</v>
      </c>
      <c r="E137" s="1025"/>
      <c r="F137" s="1025"/>
      <c r="G137" s="1025">
        <f t="shared" si="17"/>
        <v>0</v>
      </c>
      <c r="H137" s="1025"/>
      <c r="I137" s="1025">
        <f aca="true" t="shared" si="18" ref="I137:K157">(M137+Q137)/2</f>
        <v>0</v>
      </c>
      <c r="J137" s="1025">
        <f t="shared" si="18"/>
        <v>0</v>
      </c>
      <c r="K137" s="1025">
        <f t="shared" si="18"/>
        <v>0</v>
      </c>
      <c r="L137" s="1025"/>
      <c r="M137" s="1013"/>
      <c r="N137" s="1013"/>
      <c r="O137" s="1013"/>
      <c r="P137" s="1025"/>
      <c r="Q137" s="1013"/>
      <c r="R137" s="1013"/>
      <c r="S137" s="1013"/>
    </row>
    <row r="138" spans="1:19" ht="12.75" hidden="1">
      <c r="A138" s="1048">
        <f t="shared" si="13"/>
        <v>9.629999999999987</v>
      </c>
      <c r="B138" s="1013"/>
      <c r="C138" s="1025">
        <f t="shared" si="14"/>
        <v>0</v>
      </c>
      <c r="D138" s="1025">
        <f t="shared" si="15"/>
        <v>0</v>
      </c>
      <c r="E138" s="1025"/>
      <c r="F138" s="1025"/>
      <c r="G138" s="1025">
        <f t="shared" si="17"/>
        <v>0</v>
      </c>
      <c r="H138" s="1025"/>
      <c r="I138" s="1025">
        <f t="shared" si="18"/>
        <v>0</v>
      </c>
      <c r="J138" s="1025">
        <f t="shared" si="18"/>
        <v>0</v>
      </c>
      <c r="K138" s="1025">
        <f t="shared" si="18"/>
        <v>0</v>
      </c>
      <c r="L138" s="1025"/>
      <c r="M138" s="1013"/>
      <c r="N138" s="1013"/>
      <c r="O138" s="1013"/>
      <c r="P138" s="1025"/>
      <c r="Q138" s="1013"/>
      <c r="R138" s="1013"/>
      <c r="S138" s="1013"/>
    </row>
    <row r="139" spans="1:19" ht="12.75" hidden="1">
      <c r="A139" s="1048">
        <f t="shared" si="13"/>
        <v>9.639999999999986</v>
      </c>
      <c r="B139" s="1013"/>
      <c r="C139" s="1029">
        <f t="shared" si="14"/>
        <v>0</v>
      </c>
      <c r="D139" s="1029">
        <f t="shared" si="15"/>
        <v>0</v>
      </c>
      <c r="E139" s="1029"/>
      <c r="F139" s="1029"/>
      <c r="G139" s="1029">
        <f t="shared" si="17"/>
        <v>0</v>
      </c>
      <c r="H139" s="1029"/>
      <c r="I139" s="1029">
        <f t="shared" si="18"/>
        <v>0</v>
      </c>
      <c r="J139" s="1029">
        <f t="shared" si="18"/>
        <v>0</v>
      </c>
      <c r="K139" s="1029">
        <f t="shared" si="18"/>
        <v>0</v>
      </c>
      <c r="L139" s="1029"/>
      <c r="M139" s="1013"/>
      <c r="N139" s="1013"/>
      <c r="O139" s="1013"/>
      <c r="P139" s="1029"/>
      <c r="Q139" s="1013"/>
      <c r="R139" s="1013"/>
      <c r="S139" s="1013"/>
    </row>
    <row r="140" spans="1:19" ht="12.75" hidden="1">
      <c r="A140" s="1048">
        <f>A139+0.01</f>
        <v>9.649999999999986</v>
      </c>
      <c r="B140" s="1013"/>
      <c r="C140" s="1025">
        <f t="shared" si="14"/>
        <v>0</v>
      </c>
      <c r="D140" s="1025">
        <f aca="true" t="shared" si="19" ref="D140:D168">SUM(Q140:S140)</f>
        <v>0</v>
      </c>
      <c r="E140" s="1025"/>
      <c r="F140" s="1025"/>
      <c r="G140" s="1025">
        <f t="shared" si="17"/>
        <v>0</v>
      </c>
      <c r="H140" s="1025"/>
      <c r="I140" s="1025">
        <f t="shared" si="18"/>
        <v>0</v>
      </c>
      <c r="J140" s="1025">
        <f t="shared" si="18"/>
        <v>0</v>
      </c>
      <c r="K140" s="1025">
        <f t="shared" si="18"/>
        <v>0</v>
      </c>
      <c r="L140" s="1025"/>
      <c r="M140" s="1013"/>
      <c r="N140" s="1013"/>
      <c r="O140" s="1013"/>
      <c r="P140" s="1025"/>
      <c r="Q140" s="1013"/>
      <c r="R140" s="1013"/>
      <c r="S140" s="1013"/>
    </row>
    <row r="141" spans="1:19" ht="12.75" hidden="1">
      <c r="A141" s="1048">
        <f t="shared" si="13"/>
        <v>9.659999999999986</v>
      </c>
      <c r="B141" s="1013"/>
      <c r="C141" s="1025">
        <f aca="true" t="shared" si="20" ref="C141:C168">SUM(M141:O141)</f>
        <v>0</v>
      </c>
      <c r="D141" s="1025">
        <f t="shared" si="19"/>
        <v>0</v>
      </c>
      <c r="E141" s="1025"/>
      <c r="F141" s="1025"/>
      <c r="G141" s="1025">
        <f t="shared" si="17"/>
        <v>0</v>
      </c>
      <c r="H141" s="1025"/>
      <c r="I141" s="1025">
        <f t="shared" si="18"/>
        <v>0</v>
      </c>
      <c r="J141" s="1025">
        <f t="shared" si="18"/>
        <v>0</v>
      </c>
      <c r="K141" s="1025">
        <f t="shared" si="18"/>
        <v>0</v>
      </c>
      <c r="L141" s="1025"/>
      <c r="M141" s="1013"/>
      <c r="N141" s="1013"/>
      <c r="O141" s="1013"/>
      <c r="P141" s="1025"/>
      <c r="Q141" s="1013"/>
      <c r="R141" s="1013"/>
      <c r="S141" s="1013"/>
    </row>
    <row r="142" spans="1:19" ht="12.75" hidden="1">
      <c r="A142" s="1048">
        <f aca="true" t="shared" si="21" ref="A142:A174">A141+0.01</f>
        <v>9.669999999999986</v>
      </c>
      <c r="B142" s="1013"/>
      <c r="C142" s="1025">
        <f t="shared" si="20"/>
        <v>0</v>
      </c>
      <c r="D142" s="1025">
        <f t="shared" si="19"/>
        <v>0</v>
      </c>
      <c r="E142" s="1025"/>
      <c r="F142" s="1025"/>
      <c r="G142" s="1025">
        <f t="shared" si="17"/>
        <v>0</v>
      </c>
      <c r="H142" s="1025"/>
      <c r="I142" s="1025">
        <f t="shared" si="18"/>
        <v>0</v>
      </c>
      <c r="J142" s="1025">
        <f t="shared" si="18"/>
        <v>0</v>
      </c>
      <c r="K142" s="1025">
        <f t="shared" si="18"/>
        <v>0</v>
      </c>
      <c r="L142" s="1025"/>
      <c r="M142" s="1013"/>
      <c r="N142" s="1013"/>
      <c r="O142" s="1013"/>
      <c r="P142" s="1025"/>
      <c r="Q142" s="1013"/>
      <c r="R142" s="1013"/>
      <c r="S142" s="1013"/>
    </row>
    <row r="143" spans="1:19" ht="12.75" hidden="1">
      <c r="A143" s="1048">
        <f t="shared" si="21"/>
        <v>9.679999999999986</v>
      </c>
      <c r="B143" s="1013"/>
      <c r="C143" s="1025">
        <f t="shared" si="20"/>
        <v>0</v>
      </c>
      <c r="D143" s="1025">
        <f t="shared" si="19"/>
        <v>0</v>
      </c>
      <c r="E143" s="1025"/>
      <c r="F143" s="1025"/>
      <c r="G143" s="1025">
        <f t="shared" si="17"/>
        <v>0</v>
      </c>
      <c r="H143" s="1025"/>
      <c r="I143" s="1025">
        <f t="shared" si="18"/>
        <v>0</v>
      </c>
      <c r="J143" s="1025">
        <f t="shared" si="18"/>
        <v>0</v>
      </c>
      <c r="K143" s="1025">
        <f t="shared" si="18"/>
        <v>0</v>
      </c>
      <c r="L143" s="1025"/>
      <c r="M143" s="1013"/>
      <c r="N143" s="1013"/>
      <c r="O143" s="1013"/>
      <c r="P143" s="1025"/>
      <c r="Q143" s="1013"/>
      <c r="R143" s="1013"/>
      <c r="S143" s="1013"/>
    </row>
    <row r="144" spans="1:19" ht="12.75" hidden="1">
      <c r="A144" s="1048">
        <f t="shared" si="21"/>
        <v>9.689999999999985</v>
      </c>
      <c r="B144" s="1013"/>
      <c r="C144" s="1025">
        <f t="shared" si="20"/>
        <v>0</v>
      </c>
      <c r="D144" s="1025">
        <f t="shared" si="19"/>
        <v>0</v>
      </c>
      <c r="E144" s="1025"/>
      <c r="F144" s="1025"/>
      <c r="G144" s="1025">
        <f t="shared" si="17"/>
        <v>0</v>
      </c>
      <c r="H144" s="1025"/>
      <c r="I144" s="1025">
        <f t="shared" si="18"/>
        <v>0</v>
      </c>
      <c r="J144" s="1025">
        <f t="shared" si="18"/>
        <v>0</v>
      </c>
      <c r="K144" s="1025">
        <f t="shared" si="18"/>
        <v>0</v>
      </c>
      <c r="L144" s="1025"/>
      <c r="M144" s="1013"/>
      <c r="N144" s="1013"/>
      <c r="O144" s="1013"/>
      <c r="P144" s="1025"/>
      <c r="Q144" s="1013"/>
      <c r="R144" s="1013"/>
      <c r="S144" s="1013"/>
    </row>
    <row r="145" spans="1:19" ht="12.75" hidden="1">
      <c r="A145" s="1048">
        <f t="shared" si="21"/>
        <v>9.699999999999985</v>
      </c>
      <c r="B145" s="1013"/>
      <c r="C145" s="1025">
        <f>SUM(M145:O145)</f>
        <v>0</v>
      </c>
      <c r="D145" s="1025">
        <f t="shared" si="19"/>
        <v>0</v>
      </c>
      <c r="E145" s="1025"/>
      <c r="F145" s="1025"/>
      <c r="G145" s="1025">
        <f t="shared" si="17"/>
        <v>0</v>
      </c>
      <c r="H145" s="1025"/>
      <c r="I145" s="1025">
        <f t="shared" si="18"/>
        <v>0</v>
      </c>
      <c r="J145" s="1025">
        <f t="shared" si="18"/>
        <v>0</v>
      </c>
      <c r="K145" s="1025">
        <f t="shared" si="18"/>
        <v>0</v>
      </c>
      <c r="L145" s="1025"/>
      <c r="M145" s="1013"/>
      <c r="N145" s="1013"/>
      <c r="O145" s="1013"/>
      <c r="P145" s="1025"/>
      <c r="Q145" s="1013"/>
      <c r="R145" s="1013"/>
      <c r="S145" s="1013"/>
    </row>
    <row r="146" spans="1:19" ht="12.75" hidden="1">
      <c r="A146" s="1048">
        <f t="shared" si="21"/>
        <v>9.709999999999985</v>
      </c>
      <c r="B146" s="1013"/>
      <c r="C146" s="1025">
        <f t="shared" si="20"/>
        <v>0</v>
      </c>
      <c r="D146" s="1025">
        <f t="shared" si="19"/>
        <v>0</v>
      </c>
      <c r="E146" s="1025"/>
      <c r="F146" s="1025"/>
      <c r="G146" s="1025">
        <f t="shared" si="17"/>
        <v>0</v>
      </c>
      <c r="H146" s="1025"/>
      <c r="I146" s="1025">
        <f t="shared" si="18"/>
        <v>0</v>
      </c>
      <c r="J146" s="1025">
        <f t="shared" si="18"/>
        <v>0</v>
      </c>
      <c r="K146" s="1025">
        <f t="shared" si="18"/>
        <v>0</v>
      </c>
      <c r="L146" s="1025"/>
      <c r="M146" s="1013"/>
      <c r="N146" s="1013"/>
      <c r="O146" s="1013"/>
      <c r="P146" s="1025"/>
      <c r="Q146" s="1013"/>
      <c r="R146" s="1013"/>
      <c r="S146" s="1013"/>
    </row>
    <row r="147" spans="1:19" ht="12.75" hidden="1">
      <c r="A147" s="1048">
        <f t="shared" si="21"/>
        <v>9.719999999999985</v>
      </c>
      <c r="B147" s="1013"/>
      <c r="C147" s="1025">
        <f>SUM(M147:O147)</f>
        <v>0</v>
      </c>
      <c r="D147" s="1025">
        <f t="shared" si="19"/>
        <v>0</v>
      </c>
      <c r="E147" s="1025"/>
      <c r="F147" s="1025"/>
      <c r="G147" s="1025">
        <f t="shared" si="17"/>
        <v>0</v>
      </c>
      <c r="H147" s="1025"/>
      <c r="I147" s="1025">
        <f t="shared" si="18"/>
        <v>0</v>
      </c>
      <c r="J147" s="1025">
        <f t="shared" si="18"/>
        <v>0</v>
      </c>
      <c r="K147" s="1025">
        <f t="shared" si="18"/>
        <v>0</v>
      </c>
      <c r="L147" s="1025"/>
      <c r="M147" s="1013"/>
      <c r="N147" s="1013"/>
      <c r="O147" s="1013"/>
      <c r="P147" s="1025"/>
      <c r="Q147" s="1013"/>
      <c r="R147" s="1013"/>
      <c r="S147" s="1013"/>
    </row>
    <row r="148" spans="1:19" ht="12.75" hidden="1">
      <c r="A148" s="1048">
        <f t="shared" si="21"/>
        <v>9.729999999999984</v>
      </c>
      <c r="B148" s="1013"/>
      <c r="C148" s="1025">
        <f>SUM(M148:O148)</f>
        <v>0</v>
      </c>
      <c r="D148" s="1025">
        <f t="shared" si="19"/>
        <v>0</v>
      </c>
      <c r="E148" s="1025"/>
      <c r="F148" s="1025"/>
      <c r="G148" s="1025">
        <f t="shared" si="17"/>
        <v>0</v>
      </c>
      <c r="H148" s="1025"/>
      <c r="I148" s="1025">
        <f t="shared" si="18"/>
        <v>0</v>
      </c>
      <c r="J148" s="1025">
        <f t="shared" si="18"/>
        <v>0</v>
      </c>
      <c r="K148" s="1025">
        <f t="shared" si="18"/>
        <v>0</v>
      </c>
      <c r="L148" s="1025"/>
      <c r="M148" s="1013"/>
      <c r="N148" s="1013"/>
      <c r="O148" s="1013"/>
      <c r="P148" s="1025"/>
      <c r="Q148" s="1013"/>
      <c r="R148" s="1013"/>
      <c r="S148" s="1013"/>
    </row>
    <row r="149" spans="1:19" ht="12.75" hidden="1">
      <c r="A149" s="1048">
        <f t="shared" si="21"/>
        <v>9.739999999999984</v>
      </c>
      <c r="B149" s="1013"/>
      <c r="C149" s="1025">
        <f>SUM(M149:O149)</f>
        <v>0</v>
      </c>
      <c r="D149" s="1025">
        <f t="shared" si="19"/>
        <v>0</v>
      </c>
      <c r="E149" s="1025"/>
      <c r="F149" s="1025"/>
      <c r="G149" s="1025">
        <f t="shared" si="17"/>
        <v>0</v>
      </c>
      <c r="H149" s="1025"/>
      <c r="I149" s="1025">
        <f t="shared" si="18"/>
        <v>0</v>
      </c>
      <c r="J149" s="1025">
        <f t="shared" si="18"/>
        <v>0</v>
      </c>
      <c r="K149" s="1025">
        <f t="shared" si="18"/>
        <v>0</v>
      </c>
      <c r="L149" s="1025"/>
      <c r="M149" s="1013"/>
      <c r="N149" s="1013"/>
      <c r="O149" s="1013"/>
      <c r="P149" s="1025"/>
      <c r="Q149" s="1013"/>
      <c r="R149" s="1013"/>
      <c r="S149" s="1013"/>
    </row>
    <row r="150" spans="1:19" ht="12.75" hidden="1">
      <c r="A150" s="1048">
        <f t="shared" si="21"/>
        <v>9.749999999999984</v>
      </c>
      <c r="B150" s="1013"/>
      <c r="C150" s="1025">
        <f>SUM(M150:O150)</f>
        <v>0</v>
      </c>
      <c r="D150" s="1025">
        <f t="shared" si="19"/>
        <v>0</v>
      </c>
      <c r="E150" s="1025"/>
      <c r="F150" s="1025"/>
      <c r="G150" s="1025">
        <f t="shared" si="17"/>
        <v>0</v>
      </c>
      <c r="H150" s="1025"/>
      <c r="I150" s="1025">
        <f t="shared" si="18"/>
        <v>0</v>
      </c>
      <c r="J150" s="1025">
        <f t="shared" si="18"/>
        <v>0</v>
      </c>
      <c r="K150" s="1025">
        <f t="shared" si="18"/>
        <v>0</v>
      </c>
      <c r="L150" s="1025"/>
      <c r="M150" s="1013"/>
      <c r="N150" s="1013"/>
      <c r="O150" s="1013"/>
      <c r="P150" s="1025"/>
      <c r="Q150" s="1013"/>
      <c r="R150" s="1013"/>
      <c r="S150" s="1013"/>
    </row>
    <row r="151" spans="1:19" ht="12.75" hidden="1">
      <c r="A151" s="1048">
        <f t="shared" si="21"/>
        <v>9.759999999999984</v>
      </c>
      <c r="B151" s="1013"/>
      <c r="C151" s="1025">
        <f t="shared" si="20"/>
        <v>0</v>
      </c>
      <c r="D151" s="1025">
        <f t="shared" si="19"/>
        <v>0</v>
      </c>
      <c r="E151" s="1025"/>
      <c r="F151" s="1025"/>
      <c r="G151" s="1025">
        <f t="shared" si="17"/>
        <v>0</v>
      </c>
      <c r="H151" s="1025"/>
      <c r="I151" s="1025">
        <f t="shared" si="18"/>
        <v>0</v>
      </c>
      <c r="J151" s="1025">
        <f t="shared" si="18"/>
        <v>0</v>
      </c>
      <c r="K151" s="1025">
        <f t="shared" si="18"/>
        <v>0</v>
      </c>
      <c r="L151" s="1025"/>
      <c r="M151" s="1013"/>
      <c r="N151" s="1013"/>
      <c r="O151" s="1013"/>
      <c r="P151" s="1025"/>
      <c r="Q151" s="1013"/>
      <c r="R151" s="1013"/>
      <c r="S151" s="1013"/>
    </row>
    <row r="152" spans="1:19" ht="12.75" hidden="1">
      <c r="A152" s="1048">
        <f t="shared" si="21"/>
        <v>9.769999999999984</v>
      </c>
      <c r="B152" s="1013"/>
      <c r="C152" s="1025">
        <f t="shared" si="20"/>
        <v>0</v>
      </c>
      <c r="D152" s="1025">
        <f t="shared" si="19"/>
        <v>0</v>
      </c>
      <c r="E152" s="1025"/>
      <c r="F152" s="1025"/>
      <c r="G152" s="1025">
        <f t="shared" si="17"/>
        <v>0</v>
      </c>
      <c r="H152" s="1025"/>
      <c r="I152" s="1025">
        <f t="shared" si="18"/>
        <v>0</v>
      </c>
      <c r="J152" s="1025">
        <f t="shared" si="18"/>
        <v>0</v>
      </c>
      <c r="K152" s="1025">
        <f t="shared" si="18"/>
        <v>0</v>
      </c>
      <c r="L152" s="1025"/>
      <c r="M152" s="1013"/>
      <c r="N152" s="1013"/>
      <c r="O152" s="1013"/>
      <c r="P152" s="1025"/>
      <c r="Q152" s="1013"/>
      <c r="R152" s="1013"/>
      <c r="S152" s="1013"/>
    </row>
    <row r="153" spans="1:19" ht="12.75" hidden="1">
      <c r="A153" s="1048">
        <f t="shared" si="21"/>
        <v>9.779999999999983</v>
      </c>
      <c r="B153" s="1013"/>
      <c r="C153" s="1025">
        <f t="shared" si="20"/>
        <v>0</v>
      </c>
      <c r="D153" s="1025">
        <f t="shared" si="19"/>
        <v>0</v>
      </c>
      <c r="E153" s="1025"/>
      <c r="F153" s="1025"/>
      <c r="G153" s="1025">
        <f t="shared" si="17"/>
        <v>0</v>
      </c>
      <c r="H153" s="1025"/>
      <c r="I153" s="1025">
        <f t="shared" si="18"/>
        <v>0</v>
      </c>
      <c r="J153" s="1025">
        <f t="shared" si="18"/>
        <v>0</v>
      </c>
      <c r="K153" s="1025">
        <f t="shared" si="18"/>
        <v>0</v>
      </c>
      <c r="L153" s="1025"/>
      <c r="M153" s="1013"/>
      <c r="N153" s="1013"/>
      <c r="O153" s="1013"/>
      <c r="P153" s="1025"/>
      <c r="Q153" s="1013"/>
      <c r="R153" s="1013"/>
      <c r="S153" s="1013"/>
    </row>
    <row r="154" spans="1:19" ht="12.75" hidden="1">
      <c r="A154" s="1048">
        <f t="shared" si="21"/>
        <v>9.789999999999983</v>
      </c>
      <c r="B154" s="1013"/>
      <c r="C154" s="1025">
        <f t="shared" si="20"/>
        <v>0</v>
      </c>
      <c r="D154" s="1025">
        <f t="shared" si="19"/>
        <v>0</v>
      </c>
      <c r="E154" s="1025"/>
      <c r="F154" s="1025"/>
      <c r="G154" s="1025">
        <f t="shared" si="17"/>
        <v>0</v>
      </c>
      <c r="H154" s="1025"/>
      <c r="I154" s="1025">
        <f t="shared" si="18"/>
        <v>0</v>
      </c>
      <c r="J154" s="1025">
        <f t="shared" si="18"/>
        <v>0</v>
      </c>
      <c r="K154" s="1025">
        <f t="shared" si="18"/>
        <v>0</v>
      </c>
      <c r="L154" s="1025"/>
      <c r="M154" s="1013"/>
      <c r="N154" s="1013"/>
      <c r="O154" s="1013"/>
      <c r="P154" s="1025"/>
      <c r="Q154" s="1013"/>
      <c r="R154" s="1013"/>
      <c r="S154" s="1013"/>
    </row>
    <row r="155" spans="1:19" ht="12.75" hidden="1">
      <c r="A155" s="1048">
        <f t="shared" si="21"/>
        <v>9.799999999999983</v>
      </c>
      <c r="B155" s="1013"/>
      <c r="C155" s="1025">
        <f t="shared" si="20"/>
        <v>0</v>
      </c>
      <c r="D155" s="1025">
        <f t="shared" si="19"/>
        <v>0</v>
      </c>
      <c r="E155" s="1025"/>
      <c r="F155" s="1025"/>
      <c r="G155" s="1025">
        <f t="shared" si="17"/>
        <v>0</v>
      </c>
      <c r="H155" s="1025"/>
      <c r="I155" s="1025">
        <f t="shared" si="18"/>
        <v>0</v>
      </c>
      <c r="J155" s="1025">
        <f t="shared" si="18"/>
        <v>0</v>
      </c>
      <c r="K155" s="1025">
        <f t="shared" si="18"/>
        <v>0</v>
      </c>
      <c r="L155" s="1025"/>
      <c r="M155" s="1013"/>
      <c r="N155" s="1013"/>
      <c r="O155" s="1013"/>
      <c r="P155" s="1025"/>
      <c r="Q155" s="1013"/>
      <c r="R155" s="1013"/>
      <c r="S155" s="1013"/>
    </row>
    <row r="156" spans="1:19" ht="12.75" hidden="1">
      <c r="A156" s="1048">
        <f t="shared" si="21"/>
        <v>9.809999999999983</v>
      </c>
      <c r="B156" s="1013"/>
      <c r="C156" s="1025">
        <f t="shared" si="20"/>
        <v>0</v>
      </c>
      <c r="D156" s="1025">
        <f t="shared" si="19"/>
        <v>0</v>
      </c>
      <c r="E156" s="1025"/>
      <c r="F156" s="1025"/>
      <c r="G156" s="1025">
        <f t="shared" si="17"/>
        <v>0</v>
      </c>
      <c r="H156" s="1025"/>
      <c r="I156" s="1025">
        <f t="shared" si="18"/>
        <v>0</v>
      </c>
      <c r="J156" s="1025">
        <f t="shared" si="18"/>
        <v>0</v>
      </c>
      <c r="K156" s="1025">
        <f t="shared" si="18"/>
        <v>0</v>
      </c>
      <c r="L156" s="1025"/>
      <c r="M156" s="1013"/>
      <c r="N156" s="1013"/>
      <c r="O156" s="1013"/>
      <c r="P156" s="1025"/>
      <c r="Q156" s="1013"/>
      <c r="R156" s="1013"/>
      <c r="S156" s="1013"/>
    </row>
    <row r="157" spans="1:19" ht="12.75" hidden="1">
      <c r="A157" s="1048">
        <f t="shared" si="21"/>
        <v>9.819999999999983</v>
      </c>
      <c r="B157" s="1013"/>
      <c r="C157" s="1025">
        <f t="shared" si="20"/>
        <v>0</v>
      </c>
      <c r="D157" s="1025">
        <f t="shared" si="19"/>
        <v>0</v>
      </c>
      <c r="E157" s="1025"/>
      <c r="F157" s="1025"/>
      <c r="G157" s="1025">
        <f t="shared" si="17"/>
        <v>0</v>
      </c>
      <c r="H157" s="1025"/>
      <c r="I157" s="1025">
        <f t="shared" si="18"/>
        <v>0</v>
      </c>
      <c r="J157" s="1025">
        <f t="shared" si="18"/>
        <v>0</v>
      </c>
      <c r="K157" s="1025">
        <f t="shared" si="18"/>
        <v>0</v>
      </c>
      <c r="L157" s="1025"/>
      <c r="M157" s="1013"/>
      <c r="N157" s="1013"/>
      <c r="O157" s="1013"/>
      <c r="P157" s="1025"/>
      <c r="Q157" s="1013"/>
      <c r="R157" s="1013"/>
      <c r="S157" s="1013"/>
    </row>
    <row r="158" spans="1:19" ht="12.75" hidden="1">
      <c r="A158" s="1048">
        <f t="shared" si="21"/>
        <v>9.829999999999982</v>
      </c>
      <c r="B158" s="1013"/>
      <c r="C158" s="1025">
        <f>SUM(M158:O158)</f>
        <v>0</v>
      </c>
      <c r="D158" s="1025">
        <f t="shared" si="19"/>
        <v>0</v>
      </c>
      <c r="E158" s="1025"/>
      <c r="F158" s="1025"/>
      <c r="G158" s="1025">
        <f t="shared" si="17"/>
        <v>0</v>
      </c>
      <c r="H158" s="1025"/>
      <c r="I158" s="1025">
        <f aca="true" t="shared" si="22" ref="I158:K168">(M158+Q158)/2</f>
        <v>0</v>
      </c>
      <c r="J158" s="1025">
        <f t="shared" si="22"/>
        <v>0</v>
      </c>
      <c r="K158" s="1025">
        <f t="shared" si="22"/>
        <v>0</v>
      </c>
      <c r="L158" s="1025"/>
      <c r="M158" s="1013"/>
      <c r="N158" s="1013"/>
      <c r="O158" s="1013"/>
      <c r="P158" s="1025"/>
      <c r="Q158" s="1013"/>
      <c r="R158" s="1013"/>
      <c r="S158" s="1013"/>
    </row>
    <row r="159" spans="1:19" ht="12.75" hidden="1">
      <c r="A159" s="1048">
        <f t="shared" si="21"/>
        <v>9.839999999999982</v>
      </c>
      <c r="B159" s="1013"/>
      <c r="C159" s="1025">
        <f>SUM(M159:O159)</f>
        <v>0</v>
      </c>
      <c r="D159" s="1025">
        <f t="shared" si="19"/>
        <v>0</v>
      </c>
      <c r="E159" s="1025"/>
      <c r="F159" s="1025"/>
      <c r="G159" s="1025">
        <f t="shared" si="17"/>
        <v>0</v>
      </c>
      <c r="H159" s="1025"/>
      <c r="I159" s="1025">
        <f t="shared" si="22"/>
        <v>0</v>
      </c>
      <c r="J159" s="1025">
        <f t="shared" si="22"/>
        <v>0</v>
      </c>
      <c r="K159" s="1025">
        <f t="shared" si="22"/>
        <v>0</v>
      </c>
      <c r="L159" s="1025"/>
      <c r="M159" s="1013"/>
      <c r="N159" s="1013"/>
      <c r="O159" s="1013"/>
      <c r="P159" s="1025"/>
      <c r="Q159" s="1013"/>
      <c r="R159" s="1013"/>
      <c r="S159" s="1013"/>
    </row>
    <row r="160" spans="1:19" ht="12.75" hidden="1">
      <c r="A160" s="1048">
        <f t="shared" si="21"/>
        <v>9.849999999999982</v>
      </c>
      <c r="B160" s="1013"/>
      <c r="C160" s="1025">
        <f>SUM(M160:O160)</f>
        <v>0</v>
      </c>
      <c r="D160" s="1025">
        <f t="shared" si="19"/>
        <v>0</v>
      </c>
      <c r="E160" s="1025"/>
      <c r="F160" s="1025"/>
      <c r="G160" s="1025">
        <f t="shared" si="17"/>
        <v>0</v>
      </c>
      <c r="H160" s="1025"/>
      <c r="I160" s="1025">
        <f t="shared" si="22"/>
        <v>0</v>
      </c>
      <c r="J160" s="1025">
        <f t="shared" si="22"/>
        <v>0</v>
      </c>
      <c r="K160" s="1025">
        <f t="shared" si="22"/>
        <v>0</v>
      </c>
      <c r="L160" s="1025"/>
      <c r="M160" s="1013"/>
      <c r="N160" s="1013"/>
      <c r="O160" s="1013"/>
      <c r="P160" s="1025"/>
      <c r="Q160" s="1013"/>
      <c r="R160" s="1013"/>
      <c r="S160" s="1013"/>
    </row>
    <row r="161" spans="1:19" ht="12.75" hidden="1">
      <c r="A161" s="1048">
        <f t="shared" si="21"/>
        <v>9.859999999999982</v>
      </c>
      <c r="B161" s="1013"/>
      <c r="C161" s="1025">
        <f>SUM(M161:O161)</f>
        <v>0</v>
      </c>
      <c r="D161" s="1025">
        <f t="shared" si="19"/>
        <v>0</v>
      </c>
      <c r="E161" s="1025"/>
      <c r="F161" s="1025"/>
      <c r="G161" s="1025">
        <f t="shared" si="17"/>
        <v>0</v>
      </c>
      <c r="H161" s="1025"/>
      <c r="I161" s="1025">
        <f t="shared" si="22"/>
        <v>0</v>
      </c>
      <c r="J161" s="1025">
        <f t="shared" si="22"/>
        <v>0</v>
      </c>
      <c r="K161" s="1025">
        <f t="shared" si="22"/>
        <v>0</v>
      </c>
      <c r="L161" s="1025"/>
      <c r="M161" s="1013"/>
      <c r="N161" s="1013"/>
      <c r="O161" s="1013"/>
      <c r="P161" s="1025"/>
      <c r="Q161" s="1013"/>
      <c r="R161" s="1013"/>
      <c r="S161" s="1013"/>
    </row>
    <row r="162" spans="1:19" ht="12.75" hidden="1">
      <c r="A162" s="1048">
        <f t="shared" si="21"/>
        <v>9.869999999999981</v>
      </c>
      <c r="B162" s="1013"/>
      <c r="C162" s="1025">
        <f t="shared" si="20"/>
        <v>0</v>
      </c>
      <c r="D162" s="1025">
        <f t="shared" si="19"/>
        <v>0</v>
      </c>
      <c r="E162" s="1025"/>
      <c r="F162" s="1025"/>
      <c r="G162" s="1025">
        <f t="shared" si="17"/>
        <v>0</v>
      </c>
      <c r="H162" s="1025"/>
      <c r="I162" s="1025">
        <f t="shared" si="22"/>
        <v>0</v>
      </c>
      <c r="J162" s="1025">
        <f t="shared" si="22"/>
        <v>0</v>
      </c>
      <c r="K162" s="1025">
        <f t="shared" si="22"/>
        <v>0</v>
      </c>
      <c r="L162" s="1025"/>
      <c r="M162" s="1013"/>
      <c r="N162" s="1013"/>
      <c r="O162" s="1013"/>
      <c r="P162" s="1025"/>
      <c r="Q162" s="1013"/>
      <c r="R162" s="1013"/>
      <c r="S162" s="1013"/>
    </row>
    <row r="163" spans="1:19" ht="12.75" hidden="1">
      <c r="A163" s="1048">
        <f t="shared" si="21"/>
        <v>9.879999999999981</v>
      </c>
      <c r="B163" s="1013"/>
      <c r="C163" s="1025">
        <f t="shared" si="20"/>
        <v>0</v>
      </c>
      <c r="D163" s="1025">
        <f t="shared" si="19"/>
        <v>0</v>
      </c>
      <c r="E163" s="1025"/>
      <c r="F163" s="1025"/>
      <c r="G163" s="1025">
        <f t="shared" si="17"/>
        <v>0</v>
      </c>
      <c r="H163" s="1025"/>
      <c r="I163" s="1025">
        <f t="shared" si="22"/>
        <v>0</v>
      </c>
      <c r="J163" s="1025">
        <f t="shared" si="22"/>
        <v>0</v>
      </c>
      <c r="K163" s="1025">
        <f t="shared" si="22"/>
        <v>0</v>
      </c>
      <c r="L163" s="1025"/>
      <c r="M163" s="1013"/>
      <c r="N163" s="1013"/>
      <c r="O163" s="1013"/>
      <c r="P163" s="1025"/>
      <c r="Q163" s="1013"/>
      <c r="R163" s="1013"/>
      <c r="S163" s="1013"/>
    </row>
    <row r="164" spans="1:19" ht="12.75" hidden="1">
      <c r="A164" s="1048">
        <f t="shared" si="21"/>
        <v>9.889999999999981</v>
      </c>
      <c r="B164" s="1013"/>
      <c r="C164" s="1025">
        <f t="shared" si="20"/>
        <v>0</v>
      </c>
      <c r="D164" s="1025">
        <f t="shared" si="19"/>
        <v>0</v>
      </c>
      <c r="E164" s="1025"/>
      <c r="F164" s="1025"/>
      <c r="G164" s="1025">
        <f t="shared" si="17"/>
        <v>0</v>
      </c>
      <c r="H164" s="1025"/>
      <c r="I164" s="1025">
        <f t="shared" si="22"/>
        <v>0</v>
      </c>
      <c r="J164" s="1025">
        <f t="shared" si="22"/>
        <v>0</v>
      </c>
      <c r="K164" s="1025">
        <f t="shared" si="22"/>
        <v>0</v>
      </c>
      <c r="L164" s="1025"/>
      <c r="M164" s="1013"/>
      <c r="N164" s="1013"/>
      <c r="O164" s="1013"/>
      <c r="P164" s="1025"/>
      <c r="Q164" s="1013"/>
      <c r="R164" s="1013"/>
      <c r="S164" s="1013"/>
    </row>
    <row r="165" spans="1:19" ht="12.75" hidden="1">
      <c r="A165" s="1048">
        <f t="shared" si="21"/>
        <v>9.89999999999998</v>
      </c>
      <c r="B165" s="1013"/>
      <c r="C165" s="1025">
        <f t="shared" si="20"/>
        <v>0</v>
      </c>
      <c r="D165" s="1025">
        <f t="shared" si="19"/>
        <v>0</v>
      </c>
      <c r="E165" s="1025"/>
      <c r="F165" s="1025"/>
      <c r="G165" s="1025">
        <f t="shared" si="17"/>
        <v>0</v>
      </c>
      <c r="H165" s="1025"/>
      <c r="I165" s="1025">
        <f t="shared" si="22"/>
        <v>0</v>
      </c>
      <c r="J165" s="1025">
        <f t="shared" si="22"/>
        <v>0</v>
      </c>
      <c r="K165" s="1025">
        <f t="shared" si="22"/>
        <v>0</v>
      </c>
      <c r="L165" s="1025"/>
      <c r="M165" s="1013"/>
      <c r="N165" s="1013"/>
      <c r="O165" s="1013"/>
      <c r="P165" s="1025"/>
      <c r="Q165" s="1013"/>
      <c r="R165" s="1013"/>
      <c r="S165" s="1013"/>
    </row>
    <row r="166" spans="1:19" ht="12.75" hidden="1">
      <c r="A166" s="1048">
        <f t="shared" si="21"/>
        <v>9.90999999999998</v>
      </c>
      <c r="B166" s="1013"/>
      <c r="C166" s="1025">
        <f t="shared" si="20"/>
        <v>0</v>
      </c>
      <c r="D166" s="1025">
        <f t="shared" si="19"/>
        <v>0</v>
      </c>
      <c r="E166" s="1025"/>
      <c r="F166" s="1025"/>
      <c r="G166" s="1025">
        <f>ROUND(SUM(C166:F166)/2,0)</f>
        <v>0</v>
      </c>
      <c r="H166" s="1025"/>
      <c r="I166" s="1025">
        <f t="shared" si="22"/>
        <v>0</v>
      </c>
      <c r="J166" s="1025">
        <f t="shared" si="22"/>
        <v>0</v>
      </c>
      <c r="K166" s="1025">
        <f t="shared" si="22"/>
        <v>0</v>
      </c>
      <c r="L166" s="1025"/>
      <c r="M166" s="1013"/>
      <c r="N166" s="1013"/>
      <c r="O166" s="1013"/>
      <c r="P166" s="1025"/>
      <c r="Q166" s="1013"/>
      <c r="R166" s="1013"/>
      <c r="S166" s="1013"/>
    </row>
    <row r="167" spans="1:19" ht="12.75" hidden="1">
      <c r="A167" s="1048">
        <f t="shared" si="21"/>
        <v>9.91999999999998</v>
      </c>
      <c r="B167" s="1013"/>
      <c r="C167" s="1025">
        <f t="shared" si="20"/>
        <v>0</v>
      </c>
      <c r="D167" s="1025">
        <f t="shared" si="19"/>
        <v>0</v>
      </c>
      <c r="E167" s="1025"/>
      <c r="F167" s="1025"/>
      <c r="G167" s="1025">
        <f t="shared" si="17"/>
        <v>0</v>
      </c>
      <c r="H167" s="1025"/>
      <c r="I167" s="1025">
        <f t="shared" si="22"/>
        <v>0</v>
      </c>
      <c r="J167" s="1025">
        <f t="shared" si="22"/>
        <v>0</v>
      </c>
      <c r="K167" s="1025">
        <f t="shared" si="22"/>
        <v>0</v>
      </c>
      <c r="L167" s="1025"/>
      <c r="M167" s="1013"/>
      <c r="N167" s="1013"/>
      <c r="O167" s="1013"/>
      <c r="P167" s="1025"/>
      <c r="Q167" s="1013"/>
      <c r="R167" s="1013"/>
      <c r="S167" s="1013"/>
    </row>
    <row r="168" spans="1:19" ht="12.75" hidden="1">
      <c r="A168" s="1048">
        <f t="shared" si="21"/>
        <v>9.92999999999998</v>
      </c>
      <c r="B168" s="1013"/>
      <c r="C168" s="1025">
        <f t="shared" si="20"/>
        <v>0</v>
      </c>
      <c r="D168" s="1025">
        <f t="shared" si="19"/>
        <v>0</v>
      </c>
      <c r="E168" s="1025"/>
      <c r="F168" s="1025"/>
      <c r="G168" s="1025">
        <f t="shared" si="17"/>
        <v>0</v>
      </c>
      <c r="H168" s="1025"/>
      <c r="I168" s="1025">
        <f t="shared" si="22"/>
        <v>0</v>
      </c>
      <c r="J168" s="1025">
        <f t="shared" si="22"/>
        <v>0</v>
      </c>
      <c r="K168" s="1025">
        <f t="shared" si="22"/>
        <v>0</v>
      </c>
      <c r="L168" s="1025"/>
      <c r="M168" s="1013"/>
      <c r="N168" s="1013"/>
      <c r="O168" s="1013"/>
      <c r="P168" s="1025"/>
      <c r="Q168" s="1013"/>
      <c r="R168" s="1013"/>
      <c r="S168" s="1013"/>
    </row>
    <row r="169" spans="1:19" ht="12.75" hidden="1">
      <c r="A169" s="1048">
        <f t="shared" si="21"/>
        <v>9.93999999999998</v>
      </c>
      <c r="B169" s="1013"/>
      <c r="C169" s="1013"/>
      <c r="D169" s="1013"/>
      <c r="E169" s="1025">
        <f aca="true" t="shared" si="23" ref="E169:F174">-C169</f>
        <v>0</v>
      </c>
      <c r="F169" s="1025">
        <f t="shared" si="23"/>
        <v>0</v>
      </c>
      <c r="G169" s="1025">
        <f t="shared" si="17"/>
        <v>0</v>
      </c>
      <c r="H169" s="1025"/>
      <c r="I169" s="1025"/>
      <c r="J169" s="1025"/>
      <c r="K169" s="1025"/>
      <c r="L169" s="1025"/>
      <c r="M169" s="1025"/>
      <c r="N169" s="1025"/>
      <c r="O169" s="1025"/>
      <c r="P169" s="1025"/>
      <c r="Q169" s="1025"/>
      <c r="R169" s="1025"/>
      <c r="S169" s="1025"/>
    </row>
    <row r="170" spans="1:19" ht="12.75" hidden="1">
      <c r="A170" s="1048">
        <f t="shared" si="21"/>
        <v>9.94999999999998</v>
      </c>
      <c r="B170" s="1013"/>
      <c r="C170" s="1013"/>
      <c r="D170" s="1013"/>
      <c r="E170" s="1025">
        <f t="shared" si="23"/>
        <v>0</v>
      </c>
      <c r="F170" s="1025">
        <f t="shared" si="23"/>
        <v>0</v>
      </c>
      <c r="G170" s="1025">
        <f t="shared" si="17"/>
        <v>0</v>
      </c>
      <c r="H170" s="1025"/>
      <c r="I170" s="1025"/>
      <c r="J170" s="1025"/>
      <c r="K170" s="1025"/>
      <c r="L170" s="1025"/>
      <c r="M170" s="1025"/>
      <c r="N170" s="1025"/>
      <c r="O170" s="1025"/>
      <c r="P170" s="1025"/>
      <c r="Q170" s="1025"/>
      <c r="R170" s="1025"/>
      <c r="S170" s="1025"/>
    </row>
    <row r="171" spans="1:19" ht="12.75" hidden="1">
      <c r="A171" s="1048">
        <f t="shared" si="21"/>
        <v>9.95999999999998</v>
      </c>
      <c r="B171" s="1013"/>
      <c r="C171" s="1013"/>
      <c r="D171" s="1013"/>
      <c r="E171" s="1025">
        <f t="shared" si="23"/>
        <v>0</v>
      </c>
      <c r="F171" s="1025">
        <f t="shared" si="23"/>
        <v>0</v>
      </c>
      <c r="G171" s="1025">
        <f t="shared" si="17"/>
        <v>0</v>
      </c>
      <c r="H171" s="1025"/>
      <c r="I171" s="1025"/>
      <c r="J171" s="1025"/>
      <c r="K171" s="1025"/>
      <c r="L171" s="1025"/>
      <c r="M171" s="1025"/>
      <c r="N171" s="1025"/>
      <c r="O171" s="1025"/>
      <c r="P171" s="1025"/>
      <c r="Q171" s="1025"/>
      <c r="R171" s="1025"/>
      <c r="S171" s="1025"/>
    </row>
    <row r="172" spans="1:19" ht="12.75" hidden="1">
      <c r="A172" s="1048">
        <f t="shared" si="21"/>
        <v>9.96999999999998</v>
      </c>
      <c r="B172" s="1013"/>
      <c r="C172" s="1013"/>
      <c r="D172" s="1013"/>
      <c r="E172" s="1025">
        <f>-C172</f>
        <v>0</v>
      </c>
      <c r="F172" s="1025">
        <f>-D172</f>
        <v>0</v>
      </c>
      <c r="G172" s="1025">
        <f t="shared" si="17"/>
        <v>0</v>
      </c>
      <c r="H172" s="1025"/>
      <c r="I172" s="1025"/>
      <c r="J172" s="1025"/>
      <c r="K172" s="1025"/>
      <c r="L172" s="1025"/>
      <c r="M172" s="1025"/>
      <c r="N172" s="1025"/>
      <c r="O172" s="1025"/>
      <c r="P172" s="1025"/>
      <c r="Q172" s="1025"/>
      <c r="R172" s="1025"/>
      <c r="S172" s="1025"/>
    </row>
    <row r="173" spans="1:19" ht="12.75" hidden="1">
      <c r="A173" s="1048">
        <f t="shared" si="21"/>
        <v>9.979999999999979</v>
      </c>
      <c r="B173" s="1013"/>
      <c r="C173" s="1013"/>
      <c r="D173" s="1013"/>
      <c r="E173" s="1025">
        <f>-C173</f>
        <v>0</v>
      </c>
      <c r="F173" s="1025">
        <f>-D173</f>
        <v>0</v>
      </c>
      <c r="G173" s="1025">
        <f t="shared" si="17"/>
        <v>0</v>
      </c>
      <c r="H173" s="1025"/>
      <c r="I173" s="1025"/>
      <c r="J173" s="1025"/>
      <c r="K173" s="1025"/>
      <c r="L173" s="1025"/>
      <c r="M173" s="1025"/>
      <c r="N173" s="1025"/>
      <c r="O173" s="1025"/>
      <c r="P173" s="1025"/>
      <c r="Q173" s="1025"/>
      <c r="R173" s="1025"/>
      <c r="S173" s="1025"/>
    </row>
    <row r="174" spans="1:19" ht="12.75" hidden="1">
      <c r="A174" s="1048">
        <f t="shared" si="21"/>
        <v>9.989999999999979</v>
      </c>
      <c r="B174" s="1013"/>
      <c r="C174" s="1013"/>
      <c r="D174" s="1013"/>
      <c r="E174" s="1025">
        <f t="shared" si="23"/>
        <v>0</v>
      </c>
      <c r="F174" s="1025">
        <f t="shared" si="23"/>
        <v>0</v>
      </c>
      <c r="G174" s="1025">
        <f t="shared" si="17"/>
        <v>0</v>
      </c>
      <c r="H174" s="1025"/>
      <c r="I174" s="1025"/>
      <c r="J174" s="1025"/>
      <c r="K174" s="1025"/>
      <c r="L174" s="1025"/>
      <c r="M174" s="1025"/>
      <c r="N174" s="1025"/>
      <c r="O174" s="1025"/>
      <c r="P174" s="1025"/>
      <c r="Q174" s="1025"/>
      <c r="R174" s="1025"/>
      <c r="S174" s="1025"/>
    </row>
    <row r="175" spans="1:19" ht="12.75">
      <c r="A175" s="1034"/>
      <c r="B175" s="1017"/>
      <c r="C175" s="1025"/>
      <c r="D175" s="1025"/>
      <c r="E175" s="1025"/>
      <c r="F175" s="1025"/>
      <c r="G175" s="1025"/>
      <c r="H175" s="1025"/>
      <c r="I175" s="1025"/>
      <c r="J175" s="1025"/>
      <c r="K175" s="1025"/>
      <c r="L175" s="1025"/>
      <c r="M175" s="1025"/>
      <c r="N175" s="1025"/>
      <c r="O175" s="1025"/>
      <c r="P175" s="1025"/>
      <c r="Q175" s="1025"/>
      <c r="R175" s="1025"/>
      <c r="S175" s="1025"/>
    </row>
    <row r="176" spans="1:19" ht="12.75">
      <c r="A176" s="1034"/>
      <c r="B176" s="1017"/>
      <c r="C176" s="1025"/>
      <c r="D176" s="1025"/>
      <c r="E176" s="1025"/>
      <c r="F176" s="1025"/>
      <c r="G176" s="1025"/>
      <c r="H176" s="1025"/>
      <c r="I176" s="1025"/>
      <c r="J176" s="1025"/>
      <c r="K176" s="1025"/>
      <c r="L176" s="1025"/>
      <c r="M176" s="1025"/>
      <c r="N176" s="1025"/>
      <c r="O176" s="1025"/>
      <c r="P176" s="1025"/>
      <c r="Q176" s="1025"/>
      <c r="R176" s="1025"/>
      <c r="S176" s="1025"/>
    </row>
    <row r="177" spans="1:19" ht="13.5" thickBot="1">
      <c r="A177" s="1034">
        <v>10</v>
      </c>
      <c r="B177" s="1014"/>
      <c r="C177" s="1027">
        <f>SUM(C76:C176)</f>
        <v>4574987</v>
      </c>
      <c r="D177" s="1027">
        <f>SUM(D76:D176)</f>
        <v>7005433</v>
      </c>
      <c r="E177" s="1027">
        <f>SUM(E76:E176)</f>
        <v>-4574987</v>
      </c>
      <c r="F177" s="1027">
        <f>SUM(F76:F176)</f>
        <v>-6390380</v>
      </c>
      <c r="G177" s="1027">
        <f>SUM(G76:G176)</f>
        <v>307527</v>
      </c>
      <c r="H177" s="1025"/>
      <c r="I177" s="1027">
        <f>SUM(I76:I176)</f>
        <v>0</v>
      </c>
      <c r="J177" s="1027">
        <f>SUM(J76:J176)</f>
        <v>307526.5</v>
      </c>
      <c r="K177" s="1027">
        <f>SUM(K76:K176)</f>
        <v>0</v>
      </c>
      <c r="L177" s="1025"/>
      <c r="M177" s="1027">
        <f>SUM(M76:M176)</f>
        <v>0</v>
      </c>
      <c r="N177" s="1027">
        <f>SUM(N76:N176)</f>
        <v>0</v>
      </c>
      <c r="O177" s="1027">
        <f>SUM(O76:O176)</f>
        <v>0</v>
      </c>
      <c r="P177" s="1025"/>
      <c r="Q177" s="1027">
        <f>SUM(Q76:Q176)</f>
        <v>0</v>
      </c>
      <c r="R177" s="1027">
        <f>SUM(R76:R176)</f>
        <v>615053</v>
      </c>
      <c r="S177" s="1027">
        <f>SUM(S76:S176)</f>
        <v>0</v>
      </c>
    </row>
    <row r="178" spans="1:19" ht="13.5" thickTop="1">
      <c r="A178" s="1034"/>
      <c r="B178" s="1017"/>
      <c r="C178" s="1028"/>
      <c r="D178" s="1028"/>
      <c r="E178" s="1028"/>
      <c r="F178" s="1028"/>
      <c r="G178" s="1028"/>
      <c r="H178" s="1025"/>
      <c r="I178" s="1028"/>
      <c r="J178" s="1028"/>
      <c r="K178" s="1028"/>
      <c r="L178" s="1025"/>
      <c r="M178" s="1028"/>
      <c r="N178" s="1028"/>
      <c r="O178" s="1028"/>
      <c r="P178" s="1025"/>
      <c r="Q178" s="1028"/>
      <c r="R178" s="1028"/>
      <c r="S178" s="1028"/>
    </row>
    <row r="179" spans="1:19" ht="12.75">
      <c r="A179" s="1034"/>
      <c r="B179" s="1017"/>
      <c r="C179" s="1025"/>
      <c r="D179" s="1025"/>
      <c r="E179" s="1025"/>
      <c r="F179" s="1025"/>
      <c r="G179" s="1025"/>
      <c r="H179" s="1025"/>
      <c r="I179" s="1025"/>
      <c r="J179" s="1025"/>
      <c r="K179" s="1025"/>
      <c r="L179" s="1025"/>
      <c r="M179" s="1025"/>
      <c r="N179" s="1025"/>
      <c r="O179" s="1025"/>
      <c r="P179" s="1025"/>
      <c r="Q179" s="1025"/>
      <c r="R179" s="1025"/>
      <c r="S179" s="1025"/>
    </row>
    <row r="180" spans="1:19" ht="12.75">
      <c r="A180" s="1034">
        <f>+A177+1</f>
        <v>11</v>
      </c>
      <c r="B180" s="1011" t="s">
        <v>690</v>
      </c>
      <c r="C180" s="1025">
        <v>21612126</v>
      </c>
      <c r="D180" s="1025">
        <v>28885162</v>
      </c>
      <c r="E180" s="1025"/>
      <c r="F180" s="1025"/>
      <c r="G180" s="1025">
        <f>ROUND(SUM(C180:F180)/2,0)</f>
        <v>25248644</v>
      </c>
      <c r="H180" s="1025"/>
      <c r="I180" s="1025"/>
      <c r="J180" s="1025">
        <v>25248644</v>
      </c>
      <c r="K180" s="1025"/>
      <c r="L180" s="1025"/>
      <c r="M180" s="1013"/>
      <c r="N180" s="1013">
        <v>21612126</v>
      </c>
      <c r="O180" s="1013"/>
      <c r="P180" s="1025"/>
      <c r="Q180" s="1013"/>
      <c r="R180" s="1013">
        <v>28885162</v>
      </c>
      <c r="S180" s="1013"/>
    </row>
    <row r="181" spans="1:19" ht="12.75">
      <c r="A181" s="1057">
        <f>A180+0.01</f>
        <v>11.01</v>
      </c>
      <c r="B181" s="1013" t="s">
        <v>943</v>
      </c>
      <c r="C181" s="1013">
        <v>0</v>
      </c>
      <c r="D181" s="1013">
        <v>0</v>
      </c>
      <c r="E181" s="1025">
        <v>0</v>
      </c>
      <c r="F181" s="1025">
        <v>0</v>
      </c>
      <c r="G181" s="1025">
        <f>ROUND(SUM(C181:F181)/2,0)</f>
        <v>0</v>
      </c>
      <c r="H181" s="1025"/>
      <c r="I181" s="1025"/>
      <c r="J181" s="1025"/>
      <c r="K181" s="1025"/>
      <c r="L181" s="1025"/>
      <c r="M181" s="1025"/>
      <c r="N181" s="1025"/>
      <c r="O181" s="1025"/>
      <c r="P181" s="1025"/>
      <c r="Q181" s="1025"/>
      <c r="R181" s="1025"/>
      <c r="S181" s="1025"/>
    </row>
    <row r="182" spans="1:19" ht="12.75">
      <c r="A182" s="1034"/>
      <c r="B182" s="1017"/>
      <c r="C182" s="1025"/>
      <c r="D182" s="1025"/>
      <c r="E182" s="1025"/>
      <c r="F182" s="1025"/>
      <c r="G182" s="1025"/>
      <c r="H182" s="1025"/>
      <c r="I182" s="1025"/>
      <c r="J182" s="1025"/>
      <c r="K182" s="1025"/>
      <c r="L182" s="1025"/>
      <c r="M182" s="1025"/>
      <c r="N182" s="1025"/>
      <c r="O182" s="1025"/>
      <c r="P182" s="1025"/>
      <c r="Q182" s="1025"/>
      <c r="R182" s="1025"/>
      <c r="S182" s="1025"/>
    </row>
    <row r="183" spans="1:19" ht="13.5" thickBot="1">
      <c r="A183" s="1034">
        <f>+A180+1</f>
        <v>12</v>
      </c>
      <c r="B183" s="1014" t="s">
        <v>691</v>
      </c>
      <c r="C183" s="1027">
        <f>SUM(C177:C182)</f>
        <v>26187113</v>
      </c>
      <c r="D183" s="1027">
        <f>SUM(D177:D182)</f>
        <v>35890595</v>
      </c>
      <c r="E183" s="1027">
        <f>SUM(E177:E182)</f>
        <v>-4574987</v>
      </c>
      <c r="F183" s="1027">
        <f>SUM(F177:F182)</f>
        <v>-6390380</v>
      </c>
      <c r="G183" s="1027">
        <f>SUM(G177:G182)</f>
        <v>25556171</v>
      </c>
      <c r="H183" s="1025"/>
      <c r="I183" s="1027">
        <f>SUM(I177:I182)</f>
        <v>0</v>
      </c>
      <c r="J183" s="1027">
        <f>SUM(J177:J182)</f>
        <v>25556170.5</v>
      </c>
      <c r="K183" s="1027">
        <f>SUM(K177:K182)</f>
        <v>0</v>
      </c>
      <c r="L183" s="1025"/>
      <c r="M183" s="1031">
        <f>SUM(M177:M182)</f>
        <v>0</v>
      </c>
      <c r="N183" s="1031">
        <f>SUM(N177:N182)</f>
        <v>21612126</v>
      </c>
      <c r="O183" s="1031">
        <f>SUM(O177:O182)</f>
        <v>0</v>
      </c>
      <c r="P183" s="1025"/>
      <c r="Q183" s="1027">
        <f>SUM(Q177:Q182)</f>
        <v>0</v>
      </c>
      <c r="R183" s="1027">
        <f>SUM(R177:R182)</f>
        <v>29500215</v>
      </c>
      <c r="S183" s="1027">
        <f>SUM(S177:S182)</f>
        <v>0</v>
      </c>
    </row>
    <row r="184" spans="1:19" ht="13.5" thickTop="1">
      <c r="A184" s="1034">
        <f>A183+1</f>
        <v>13</v>
      </c>
      <c r="B184" s="1017" t="s">
        <v>692</v>
      </c>
      <c r="C184" s="1028">
        <f>C106+C139</f>
        <v>0</v>
      </c>
      <c r="D184" s="1028">
        <f>D106+D139</f>
        <v>0</v>
      </c>
      <c r="E184" s="1028">
        <f>E106+E139</f>
        <v>0</v>
      </c>
      <c r="F184" s="1028">
        <f>F106+F139</f>
        <v>0</v>
      </c>
      <c r="G184" s="1028">
        <f>G106+G139</f>
        <v>0</v>
      </c>
      <c r="H184" s="1025"/>
      <c r="I184" s="1028">
        <f>I106+I139</f>
        <v>0</v>
      </c>
      <c r="J184" s="1028">
        <f>J106+J139</f>
        <v>0</v>
      </c>
      <c r="K184" s="1028">
        <f>K106+K139</f>
        <v>0</v>
      </c>
      <c r="L184" s="1025"/>
      <c r="M184" s="1028">
        <f>M106+M139</f>
        <v>0</v>
      </c>
      <c r="N184" s="1028">
        <f>N106+N139</f>
        <v>0</v>
      </c>
      <c r="O184" s="1028">
        <f>O106+O139</f>
        <v>0</v>
      </c>
      <c r="P184" s="1025"/>
      <c r="Q184" s="1028">
        <f>Q106+Q139</f>
        <v>0</v>
      </c>
      <c r="R184" s="1028">
        <f>R106+R139</f>
        <v>0</v>
      </c>
      <c r="S184" s="1028">
        <f>S106+S139</f>
        <v>0</v>
      </c>
    </row>
    <row r="185" spans="1:19" ht="12.75">
      <c r="A185" s="1034"/>
      <c r="B185" s="1017"/>
      <c r="C185" s="1030"/>
      <c r="D185" s="1030"/>
      <c r="E185" s="1025"/>
      <c r="F185" s="1025"/>
      <c r="G185" s="1025"/>
      <c r="H185" s="1025"/>
      <c r="I185" s="1025"/>
      <c r="J185" s="1025"/>
      <c r="K185" s="1025"/>
      <c r="L185" s="1025"/>
      <c r="M185" s="1025"/>
      <c r="N185" s="1025"/>
      <c r="O185" s="1025"/>
      <c r="P185" s="1025"/>
      <c r="Q185" s="1025"/>
      <c r="R185" s="1025"/>
      <c r="S185" s="1025"/>
    </row>
    <row r="186" spans="1:19" ht="12.75">
      <c r="A186" s="1034">
        <f>+A184+1</f>
        <v>14</v>
      </c>
      <c r="B186" s="1014" t="s">
        <v>693</v>
      </c>
      <c r="C186" s="1025"/>
      <c r="D186" s="1025"/>
      <c r="E186" s="1025"/>
      <c r="F186" s="1025"/>
      <c r="G186" s="1025"/>
      <c r="H186" s="1025"/>
      <c r="I186" s="1025"/>
      <c r="J186" s="1025"/>
      <c r="K186" s="1025"/>
      <c r="L186" s="1025"/>
      <c r="M186" s="1025"/>
      <c r="N186" s="1025"/>
      <c r="O186" s="1025"/>
      <c r="P186" s="1025"/>
      <c r="Q186" s="1025"/>
      <c r="R186" s="1025"/>
      <c r="S186" s="1025"/>
    </row>
    <row r="187" spans="1:19" ht="12.75">
      <c r="A187" s="1034"/>
      <c r="B187" s="1017"/>
      <c r="C187" s="1025"/>
      <c r="D187" s="1025"/>
      <c r="E187" s="1025"/>
      <c r="F187" s="1025"/>
      <c r="G187" s="1025"/>
      <c r="H187" s="1025"/>
      <c r="I187" s="1025"/>
      <c r="J187" s="1025"/>
      <c r="K187" s="1025"/>
      <c r="L187" s="1025"/>
      <c r="M187" s="1025"/>
      <c r="N187" s="1025"/>
      <c r="O187" s="1025"/>
      <c r="P187" s="1025"/>
      <c r="Q187" s="1025"/>
      <c r="R187" s="1025"/>
      <c r="S187" s="1025"/>
    </row>
    <row r="188" spans="1:19" ht="12.75">
      <c r="A188" s="1034">
        <f>+A186+1</f>
        <v>15</v>
      </c>
      <c r="B188" s="1014" t="s">
        <v>694</v>
      </c>
      <c r="C188" s="1025"/>
      <c r="D188" s="1025"/>
      <c r="E188" s="1025"/>
      <c r="F188" s="1025"/>
      <c r="G188" s="1025"/>
      <c r="H188" s="1025"/>
      <c r="I188" s="1025"/>
      <c r="J188" s="1025"/>
      <c r="K188" s="1025"/>
      <c r="L188" s="1025"/>
      <c r="M188" s="1025"/>
      <c r="N188" s="1025"/>
      <c r="O188" s="1025"/>
      <c r="P188" s="1025"/>
      <c r="Q188" s="1025"/>
      <c r="R188" s="1025"/>
      <c r="S188" s="1025"/>
    </row>
    <row r="189" spans="1:19" ht="12.75">
      <c r="A189" s="1034"/>
      <c r="B189" s="1017"/>
      <c r="C189" s="1025"/>
      <c r="D189" s="1032"/>
      <c r="E189" s="1032"/>
      <c r="F189" s="1032"/>
      <c r="G189" s="1032"/>
      <c r="H189" s="1032"/>
      <c r="I189" s="1032"/>
      <c r="J189" s="1032"/>
      <c r="K189" s="1032"/>
      <c r="L189" s="1032"/>
      <c r="M189" s="1025"/>
      <c r="N189" s="1025"/>
      <c r="O189" s="1025"/>
      <c r="P189" s="1025"/>
      <c r="Q189" s="1025"/>
      <c r="R189" s="1025"/>
      <c r="S189" s="1025"/>
    </row>
    <row r="190" spans="1:19" ht="12.75">
      <c r="A190" s="1034">
        <f>+A188+1</f>
        <v>16</v>
      </c>
      <c r="B190" s="1014" t="s">
        <v>695</v>
      </c>
      <c r="C190" s="1025"/>
      <c r="D190" s="1032"/>
      <c r="E190" s="1032"/>
      <c r="F190" s="1032"/>
      <c r="G190" s="1032"/>
      <c r="H190" s="1032"/>
      <c r="I190" s="1032"/>
      <c r="J190" s="1032"/>
      <c r="K190" s="1032"/>
      <c r="L190" s="1032"/>
      <c r="M190" s="1025"/>
      <c r="N190" s="1025"/>
      <c r="O190" s="1025"/>
      <c r="P190" s="1025"/>
      <c r="Q190" s="1025"/>
      <c r="R190" s="1025"/>
      <c r="S190" s="1025"/>
    </row>
    <row r="191" spans="1:19" ht="12.75">
      <c r="A191" s="1034"/>
      <c r="B191" s="1017"/>
      <c r="C191" s="1025"/>
      <c r="D191" s="1025"/>
      <c r="E191" s="1025"/>
      <c r="F191" s="1025"/>
      <c r="G191" s="1025"/>
      <c r="H191" s="1025"/>
      <c r="I191" s="1025"/>
      <c r="J191" s="1025"/>
      <c r="K191" s="1025"/>
      <c r="L191" s="1025"/>
      <c r="M191" s="1025"/>
      <c r="N191" s="1025"/>
      <c r="O191" s="1025"/>
      <c r="P191" s="1025"/>
      <c r="Q191" s="1025"/>
      <c r="R191" s="1025"/>
      <c r="S191" s="1025"/>
    </row>
    <row r="192" spans="1:19" ht="12.75">
      <c r="A192" s="1034">
        <f>+A190+1</f>
        <v>17</v>
      </c>
      <c r="B192" s="1011" t="s">
        <v>696</v>
      </c>
      <c r="C192" s="1025"/>
      <c r="D192" s="1025"/>
      <c r="E192" s="1025"/>
      <c r="F192" s="1025"/>
      <c r="G192" s="1025"/>
      <c r="H192" s="1025"/>
      <c r="I192" s="1025"/>
      <c r="J192" s="1025"/>
      <c r="K192" s="1025"/>
      <c r="L192" s="1025"/>
      <c r="M192" s="1025"/>
      <c r="N192" s="1025"/>
      <c r="O192" s="1025"/>
      <c r="P192" s="1025"/>
      <c r="Q192" s="1025"/>
      <c r="R192" s="1025"/>
      <c r="S192" s="1025"/>
    </row>
    <row r="193" spans="1:19" ht="12.75">
      <c r="A193" s="1034">
        <f>A192+1</f>
        <v>18</v>
      </c>
      <c r="B193" s="1011" t="s">
        <v>697</v>
      </c>
      <c r="C193" s="1025"/>
      <c r="D193" s="1025"/>
      <c r="E193" s="1025"/>
      <c r="F193" s="1025"/>
      <c r="G193" s="1025"/>
      <c r="H193" s="1025"/>
      <c r="I193" s="1025"/>
      <c r="J193" s="1025"/>
      <c r="K193" s="1025"/>
      <c r="L193" s="1025"/>
      <c r="M193" s="1025"/>
      <c r="N193" s="1025"/>
      <c r="O193" s="1025"/>
      <c r="P193" s="1025"/>
      <c r="Q193" s="1013"/>
      <c r="R193" s="1025"/>
      <c r="S193" s="1025"/>
    </row>
    <row r="194" spans="1:19" ht="12.75">
      <c r="A194" s="1057">
        <f>A193+0.01</f>
        <v>18.01</v>
      </c>
      <c r="B194" s="1013"/>
      <c r="C194" s="1025">
        <f>SUM(M194:O194)</f>
        <v>0</v>
      </c>
      <c r="D194" s="1025">
        <f>SUM(Q194:S194)</f>
        <v>0</v>
      </c>
      <c r="E194" s="1025"/>
      <c r="F194" s="1025"/>
      <c r="G194" s="1025">
        <f>ROUND(SUM(C194:F194)/2,0)</f>
        <v>0</v>
      </c>
      <c r="H194" s="1025"/>
      <c r="I194" s="1025">
        <f aca="true" t="shared" si="24" ref="I194:K195">(M194+Q194)/2</f>
        <v>0</v>
      </c>
      <c r="J194" s="1025">
        <f t="shared" si="24"/>
        <v>0</v>
      </c>
      <c r="K194" s="1025">
        <f t="shared" si="24"/>
        <v>0</v>
      </c>
      <c r="L194" s="1025"/>
      <c r="M194" s="1013"/>
      <c r="N194" s="1013"/>
      <c r="O194" s="1013"/>
      <c r="P194" s="1025"/>
      <c r="Q194" s="1013"/>
      <c r="R194" s="1013"/>
      <c r="S194" s="1013"/>
    </row>
    <row r="195" spans="1:19" ht="12.75">
      <c r="A195" s="1057">
        <f>A194+0.01</f>
        <v>18.020000000000003</v>
      </c>
      <c r="B195" s="1013"/>
      <c r="C195" s="1025">
        <f>SUM(M195:O195)</f>
        <v>0</v>
      </c>
      <c r="D195" s="1025">
        <f>SUM(Q195:S195)</f>
        <v>0</v>
      </c>
      <c r="E195" s="1025"/>
      <c r="F195" s="1025"/>
      <c r="G195" s="1025">
        <f>ROUND(SUM(C195:F195)/2,0)</f>
        <v>0</v>
      </c>
      <c r="H195" s="1025"/>
      <c r="I195" s="1025">
        <f t="shared" si="24"/>
        <v>0</v>
      </c>
      <c r="J195" s="1025">
        <f t="shared" si="24"/>
        <v>0</v>
      </c>
      <c r="K195" s="1025">
        <f t="shared" si="24"/>
        <v>0</v>
      </c>
      <c r="L195" s="1025"/>
      <c r="M195" s="1013"/>
      <c r="N195" s="1013"/>
      <c r="O195" s="1013"/>
      <c r="P195" s="1025"/>
      <c r="Q195" s="1013"/>
      <c r="R195" s="1013"/>
      <c r="S195" s="1013"/>
    </row>
    <row r="196" spans="1:19" ht="12.75">
      <c r="A196" s="1034">
        <f>INT(A195)+1</f>
        <v>19</v>
      </c>
      <c r="B196" s="1014"/>
      <c r="C196" s="1025"/>
      <c r="D196" s="1025"/>
      <c r="E196" s="1025"/>
      <c r="F196" s="1025"/>
      <c r="G196" s="1025"/>
      <c r="H196" s="1025"/>
      <c r="I196" s="1025"/>
      <c r="J196" s="1025"/>
      <c r="K196" s="1025"/>
      <c r="L196" s="1025"/>
      <c r="M196" s="1025"/>
      <c r="N196" s="1025"/>
      <c r="O196" s="1025"/>
      <c r="P196" s="1025"/>
      <c r="Q196" s="1025"/>
      <c r="R196" s="1025"/>
      <c r="S196" s="1025"/>
    </row>
    <row r="197" spans="1:19" ht="12.75">
      <c r="A197" s="1034">
        <f>A196+1</f>
        <v>20</v>
      </c>
      <c r="B197" s="1011" t="s">
        <v>698</v>
      </c>
      <c r="C197" s="1027">
        <f>SUM(C194:C196)</f>
        <v>0</v>
      </c>
      <c r="D197" s="1027">
        <f>SUM(D194:D196)</f>
        <v>0</v>
      </c>
      <c r="E197" s="1027">
        <f>SUM(E194:E196)</f>
        <v>0</v>
      </c>
      <c r="F197" s="1027">
        <f>SUM(F194:F196)</f>
        <v>0</v>
      </c>
      <c r="G197" s="1027">
        <f>SUM(G194:G196)</f>
        <v>0</v>
      </c>
      <c r="H197" s="1025"/>
      <c r="I197" s="1027">
        <f>SUM(I194:I196)</f>
        <v>0</v>
      </c>
      <c r="J197" s="1027">
        <f>SUM(J194:J196)</f>
        <v>0</v>
      </c>
      <c r="K197" s="1027">
        <f>SUM(K194:K196)</f>
        <v>0</v>
      </c>
      <c r="L197" s="1025"/>
      <c r="M197" s="1027">
        <f>SUM(M194:M196)</f>
        <v>0</v>
      </c>
      <c r="N197" s="1027">
        <f>SUM(N194:N196)</f>
        <v>0</v>
      </c>
      <c r="O197" s="1027">
        <f>SUM(O194:O196)</f>
        <v>0</v>
      </c>
      <c r="P197" s="1025"/>
      <c r="Q197" s="1027">
        <f>SUM(Q194:Q196)</f>
        <v>0</v>
      </c>
      <c r="R197" s="1027">
        <f>SUM(R194:R196)</f>
        <v>0</v>
      </c>
      <c r="S197" s="1027">
        <f>SUM(S194:S196)</f>
        <v>0</v>
      </c>
    </row>
  </sheetData>
  <sheetProtection/>
  <printOptions/>
  <pageMargins left="0.7" right="0.7" top="0.75" bottom="0.75" header="0.3" footer="0.3"/>
  <pageSetup fitToHeight="0" fitToWidth="1" horizontalDpi="600" verticalDpi="600" orientation="landscape" scale="42" r:id="rId1"/>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IV111"/>
  <sheetViews>
    <sheetView view="pageBreakPreview" zoomScale="60" zoomScalePageLayoutView="0" workbookViewId="0" topLeftCell="A1">
      <selection activeCell="A1" sqref="A1"/>
    </sheetView>
  </sheetViews>
  <sheetFormatPr defaultColWidth="9.140625" defaultRowHeight="12.75"/>
  <cols>
    <col min="1" max="1" width="6.00390625" style="1006" customWidth="1"/>
    <col min="2" max="2" width="54.57421875" style="1006" bestFit="1" customWidth="1"/>
    <col min="3" max="3" width="13.421875" style="1006" bestFit="1" customWidth="1"/>
    <col min="4" max="4" width="12.8515625" style="1006" bestFit="1" customWidth="1"/>
    <col min="5" max="6" width="17.00390625" style="1006" customWidth="1"/>
    <col min="7" max="7" width="15.28125" style="1006" bestFit="1" customWidth="1"/>
    <col min="8" max="8" width="9.140625" style="1006" customWidth="1"/>
    <col min="9" max="9" width="13.140625" style="1006" bestFit="1" customWidth="1"/>
    <col min="10" max="10" width="15.00390625" style="1006" bestFit="1" customWidth="1"/>
    <col min="11" max="11" width="13.57421875" style="1006" bestFit="1" customWidth="1"/>
    <col min="12" max="12" width="9.140625" style="1006" customWidth="1"/>
    <col min="13" max="13" width="13.140625" style="1006" bestFit="1" customWidth="1"/>
    <col min="14" max="14" width="15.00390625" style="1006" bestFit="1" customWidth="1"/>
    <col min="15" max="15" width="13.57421875" style="1006" bestFit="1" customWidth="1"/>
    <col min="16" max="16" width="9.140625" style="1006" customWidth="1"/>
    <col min="17" max="17" width="13.140625" style="1006" bestFit="1" customWidth="1"/>
    <col min="18" max="18" width="15.00390625" style="1006" bestFit="1" customWidth="1"/>
    <col min="19" max="19" width="13.57421875" style="1006" bestFit="1" customWidth="1"/>
    <col min="20" max="16384" width="9.140625" style="1006" customWidth="1"/>
  </cols>
  <sheetData>
    <row r="1" spans="1:19" ht="12.75">
      <c r="A1" s="1035"/>
      <c r="B1" s="1056" t="str">
        <f>TCOS!F7</f>
        <v>AEP WEST VIRGINIA TRANSMISSION COMPANY</v>
      </c>
      <c r="C1" s="1036"/>
      <c r="D1" s="1036"/>
      <c r="E1" s="1036"/>
      <c r="F1" s="1017"/>
      <c r="G1" s="1011"/>
      <c r="H1" s="1011"/>
      <c r="I1" s="1011"/>
      <c r="J1" s="1011"/>
      <c r="K1" s="1011"/>
      <c r="L1" s="1011"/>
      <c r="M1" s="1017"/>
      <c r="N1" s="1017"/>
      <c r="O1" s="1011"/>
      <c r="P1" s="1017"/>
      <c r="Q1" s="1017"/>
      <c r="R1" s="1017"/>
      <c r="S1" s="1011"/>
    </row>
    <row r="2" spans="1:19" ht="12.75">
      <c r="A2" s="1035"/>
      <c r="B2" s="1016" t="s">
        <v>699</v>
      </c>
      <c r="C2" s="1036"/>
      <c r="D2" s="1036"/>
      <c r="E2" s="1036"/>
      <c r="F2" s="1036"/>
      <c r="G2" s="1010"/>
      <c r="H2" s="1010"/>
      <c r="I2" s="1010"/>
      <c r="J2" s="1010"/>
      <c r="K2" s="1010"/>
      <c r="L2" s="1010"/>
      <c r="M2" s="1017"/>
      <c r="N2" s="1017"/>
      <c r="O2" s="1010"/>
      <c r="P2" s="1017"/>
      <c r="Q2" s="1017"/>
      <c r="R2" s="1017"/>
      <c r="S2" s="1010"/>
    </row>
    <row r="3" spans="1:19" ht="12.75">
      <c r="A3" s="1035"/>
      <c r="B3" s="1016" t="str">
        <f>"PERIOD ENDED DECEMBER 31, "&amp;TCOS!L2</f>
        <v>PERIOD ENDED DECEMBER 31, 2017</v>
      </c>
      <c r="C3" s="1036"/>
      <c r="D3" s="1036"/>
      <c r="E3" s="1036"/>
      <c r="F3" s="1036"/>
      <c r="G3" s="1036"/>
      <c r="H3" s="1036"/>
      <c r="I3" s="1036"/>
      <c r="J3" s="1036"/>
      <c r="K3" s="1036"/>
      <c r="L3" s="1036"/>
      <c r="M3" s="1017"/>
      <c r="N3" s="1017"/>
      <c r="O3" s="1017"/>
      <c r="P3" s="1017"/>
      <c r="Q3" s="1017"/>
      <c r="R3" s="1017"/>
      <c r="S3" s="1017"/>
    </row>
    <row r="4" spans="1:19" ht="12.75">
      <c r="A4" s="1035"/>
      <c r="B4" s="1024"/>
      <c r="C4" s="1036"/>
      <c r="D4" s="1036"/>
      <c r="E4" s="1036"/>
      <c r="F4" s="1036"/>
      <c r="G4" s="1007" t="s">
        <v>700</v>
      </c>
      <c r="H4" s="1036"/>
      <c r="I4" s="1036"/>
      <c r="J4" s="1036"/>
      <c r="K4" s="1036"/>
      <c r="L4" s="1036"/>
      <c r="M4" s="1017"/>
      <c r="N4" s="1017"/>
      <c r="O4" s="1017"/>
      <c r="P4" s="1017"/>
      <c r="Q4" s="1017"/>
      <c r="R4" s="1017"/>
      <c r="S4" s="1017"/>
    </row>
    <row r="5" spans="1:19" ht="12.75">
      <c r="A5" s="1035"/>
      <c r="B5" s="1018"/>
      <c r="C5" s="1036"/>
      <c r="D5" s="1036"/>
      <c r="E5" s="1036"/>
      <c r="F5" s="1036"/>
      <c r="G5" s="1036"/>
      <c r="H5" s="1036"/>
      <c r="I5" s="1036"/>
      <c r="J5" s="1036"/>
      <c r="K5" s="1036"/>
      <c r="L5" s="1036"/>
      <c r="M5" s="1017"/>
      <c r="N5" s="1017"/>
      <c r="O5" s="1017"/>
      <c r="P5" s="1017"/>
      <c r="Q5" s="1017"/>
      <c r="R5" s="1017"/>
      <c r="S5" s="1017"/>
    </row>
    <row r="6" spans="1:19" ht="12.75">
      <c r="A6" s="1035"/>
      <c r="B6" s="1017"/>
      <c r="C6" s="1036"/>
      <c r="D6" s="1036"/>
      <c r="E6" s="1036"/>
      <c r="F6" s="1036"/>
      <c r="G6" s="1036"/>
      <c r="H6" s="1007"/>
      <c r="I6" s="1007"/>
      <c r="J6" s="1007"/>
      <c r="K6" s="1007"/>
      <c r="L6" s="1007"/>
      <c r="M6" s="1017"/>
      <c r="N6" s="1017"/>
      <c r="O6" s="1017"/>
      <c r="P6" s="1017"/>
      <c r="Q6" s="1017"/>
      <c r="R6" s="1017"/>
      <c r="S6" s="1017"/>
    </row>
    <row r="7" spans="1:19" ht="12.75">
      <c r="A7" s="1035"/>
      <c r="B7" s="1017"/>
      <c r="C7" s="1036"/>
      <c r="D7" s="1036"/>
      <c r="E7" s="1036"/>
      <c r="F7" s="1036"/>
      <c r="G7" s="1036"/>
      <c r="H7" s="1036"/>
      <c r="I7" s="1036"/>
      <c r="J7" s="1036"/>
      <c r="K7" s="1036"/>
      <c r="L7" s="1036"/>
      <c r="M7" s="1017"/>
      <c r="N7" s="1017"/>
      <c r="O7" s="1017"/>
      <c r="P7" s="1017"/>
      <c r="Q7" s="1017"/>
      <c r="R7" s="1017"/>
      <c r="S7" s="1017"/>
    </row>
    <row r="8" spans="1:19" ht="12.75">
      <c r="A8" s="1035"/>
      <c r="B8" s="1019" t="s">
        <v>656</v>
      </c>
      <c r="C8" s="1037" t="s">
        <v>657</v>
      </c>
      <c r="D8" s="1037" t="s">
        <v>658</v>
      </c>
      <c r="E8" s="1037" t="s">
        <v>659</v>
      </c>
      <c r="F8" s="1037" t="s">
        <v>660</v>
      </c>
      <c r="G8" s="1037" t="s">
        <v>661</v>
      </c>
      <c r="H8" s="1037"/>
      <c r="I8" s="1037" t="s">
        <v>662</v>
      </c>
      <c r="J8" s="1037" t="s">
        <v>663</v>
      </c>
      <c r="K8" s="1037" t="s">
        <v>664</v>
      </c>
      <c r="L8" s="1037"/>
      <c r="M8" s="1019" t="s">
        <v>665</v>
      </c>
      <c r="N8" s="1019" t="s">
        <v>666</v>
      </c>
      <c r="O8" s="1019" t="s">
        <v>667</v>
      </c>
      <c r="P8" s="1017"/>
      <c r="Q8" s="1019" t="s">
        <v>668</v>
      </c>
      <c r="R8" s="1019" t="s">
        <v>669</v>
      </c>
      <c r="S8" s="1019" t="s">
        <v>670</v>
      </c>
    </row>
    <row r="9" spans="1:19" ht="12.75">
      <c r="A9" s="1035"/>
      <c r="B9" s="1017"/>
      <c r="C9" s="1036"/>
      <c r="D9" s="1036"/>
      <c r="E9" s="1036"/>
      <c r="F9" s="1036"/>
      <c r="G9" s="1036"/>
      <c r="H9" s="1036"/>
      <c r="I9" s="1036"/>
      <c r="J9" s="1036"/>
      <c r="K9" s="1036"/>
      <c r="L9" s="1036"/>
      <c r="M9" s="1017"/>
      <c r="N9" s="1017"/>
      <c r="O9" s="1017"/>
      <c r="P9" s="1017"/>
      <c r="Q9" s="1017"/>
      <c r="R9" s="1017"/>
      <c r="S9" s="1017"/>
    </row>
    <row r="10" spans="1:19" ht="12.75">
      <c r="A10" s="1035"/>
      <c r="B10" s="1017"/>
      <c r="C10" s="1038" t="s">
        <v>671</v>
      </c>
      <c r="D10" s="1038"/>
      <c r="E10" s="1039" t="s">
        <v>672</v>
      </c>
      <c r="F10" s="1038"/>
      <c r="G10" s="1009" t="s">
        <v>673</v>
      </c>
      <c r="H10" s="1009"/>
      <c r="I10" s="1040" t="s">
        <v>674</v>
      </c>
      <c r="J10" s="1038"/>
      <c r="K10" s="1038"/>
      <c r="L10" s="1009"/>
      <c r="M10" s="1020" t="str">
        <f>"FUNCTIONALIZATION 12/31/"&amp;TCOS!L2-1</f>
        <v>FUNCTIONALIZATION 12/31/2016</v>
      </c>
      <c r="N10" s="1020"/>
      <c r="O10" s="1020"/>
      <c r="P10" s="1017"/>
      <c r="Q10" s="1020" t="str">
        <f>"FUNCTIONALIZATION 12/31/"&amp;TCOS!L2</f>
        <v>FUNCTIONALIZATION 12/31/2017</v>
      </c>
      <c r="R10" s="1020"/>
      <c r="S10" s="1020"/>
    </row>
    <row r="11" spans="1:19" ht="12.75">
      <c r="A11" s="1035"/>
      <c r="B11" s="1017"/>
      <c r="C11" s="1041"/>
      <c r="D11" s="1041"/>
      <c r="E11" s="1036"/>
      <c r="F11" s="1036"/>
      <c r="G11" s="1009" t="s">
        <v>675</v>
      </c>
      <c r="H11" s="1009"/>
      <c r="I11" s="1041"/>
      <c r="J11" s="1041"/>
      <c r="K11" s="1041"/>
      <c r="L11" s="1009"/>
      <c r="M11" s="1023"/>
      <c r="N11" s="1023"/>
      <c r="O11" s="1023"/>
      <c r="P11" s="1017"/>
      <c r="Q11" s="1023"/>
      <c r="R11" s="1023"/>
      <c r="S11" s="1023"/>
    </row>
    <row r="12" spans="1:19" ht="12.75">
      <c r="A12" s="1035"/>
      <c r="B12" s="1017"/>
      <c r="C12" s="1009" t="s">
        <v>676</v>
      </c>
      <c r="D12" s="1009" t="s">
        <v>676</v>
      </c>
      <c r="E12" s="1009" t="s">
        <v>676</v>
      </c>
      <c r="F12" s="1009" t="s">
        <v>676</v>
      </c>
      <c r="G12" s="1009" t="s">
        <v>677</v>
      </c>
      <c r="H12" s="1009"/>
      <c r="I12" s="1036"/>
      <c r="J12" s="1036"/>
      <c r="K12" s="1036"/>
      <c r="L12" s="1009"/>
      <c r="M12" s="1017"/>
      <c r="N12" s="1017"/>
      <c r="O12" s="1017"/>
      <c r="P12" s="1017"/>
      <c r="Q12" s="1017"/>
      <c r="R12" s="1017"/>
      <c r="S12" s="1017"/>
    </row>
    <row r="13" spans="1:19" ht="12.75">
      <c r="A13" s="1035"/>
      <c r="B13" s="1019" t="s">
        <v>678</v>
      </c>
      <c r="C13" s="1037" t="str">
        <f>"OF 12-31-"&amp;TCOS!L2-1</f>
        <v>OF 12-31-2016</v>
      </c>
      <c r="D13" s="1037" t="str">
        <f>"OF 12-31-"&amp;TCOS!L2</f>
        <v>OF 12-31-2017</v>
      </c>
      <c r="E13" s="1037" t="str">
        <f>"OF 12-31-"&amp;TCOS!L2-1</f>
        <v>OF 12-31-2016</v>
      </c>
      <c r="F13" s="1037" t="str">
        <f>"OF 12-31-"&amp;TCOS!L2</f>
        <v>OF 12-31-2017</v>
      </c>
      <c r="G13" s="1037" t="s">
        <v>679</v>
      </c>
      <c r="H13" s="1037"/>
      <c r="I13" s="1037" t="s">
        <v>680</v>
      </c>
      <c r="J13" s="1037" t="s">
        <v>681</v>
      </c>
      <c r="K13" s="1037" t="s">
        <v>682</v>
      </c>
      <c r="L13" s="1037"/>
      <c r="M13" s="1019" t="s">
        <v>680</v>
      </c>
      <c r="N13" s="1019" t="s">
        <v>681</v>
      </c>
      <c r="O13" s="1019" t="s">
        <v>682</v>
      </c>
      <c r="P13" s="1017"/>
      <c r="Q13" s="1019" t="s">
        <v>680</v>
      </c>
      <c r="R13" s="1019" t="s">
        <v>681</v>
      </c>
      <c r="S13" s="1019" t="s">
        <v>682</v>
      </c>
    </row>
    <row r="14" spans="1:19" ht="12.75">
      <c r="A14" s="1035"/>
      <c r="B14" s="1017"/>
      <c r="C14" s="1036"/>
      <c r="D14" s="1036"/>
      <c r="E14" s="1036"/>
      <c r="F14" s="1036"/>
      <c r="G14" s="1036"/>
      <c r="H14" s="1036"/>
      <c r="I14" s="1036"/>
      <c r="J14" s="1036"/>
      <c r="K14" s="1036"/>
      <c r="L14" s="1036"/>
      <c r="M14" s="1017"/>
      <c r="N14" s="1017"/>
      <c r="O14" s="1017"/>
      <c r="P14" s="1017"/>
      <c r="Q14" s="1017"/>
      <c r="R14" s="1017"/>
      <c r="S14" s="1017"/>
    </row>
    <row r="15" spans="1:19" ht="12.75">
      <c r="A15" s="1042">
        <v>1</v>
      </c>
      <c r="B15" s="1030" t="s">
        <v>701</v>
      </c>
      <c r="C15" s="1025"/>
      <c r="D15" s="1025"/>
      <c r="E15" s="1025"/>
      <c r="F15" s="1026"/>
      <c r="G15" s="1025"/>
      <c r="H15" s="1025"/>
      <c r="I15" s="1025"/>
      <c r="J15" s="1025"/>
      <c r="K15" s="1025"/>
      <c r="L15" s="1025"/>
      <c r="M15" s="1025"/>
      <c r="N15" s="1025"/>
      <c r="O15" s="1025"/>
      <c r="P15" s="1025"/>
      <c r="Q15" s="1025"/>
      <c r="R15" s="1025"/>
      <c r="S15" s="1025"/>
    </row>
    <row r="16" spans="1:19" ht="12.75">
      <c r="A16" s="1042"/>
      <c r="B16" s="1025"/>
      <c r="C16" s="1025"/>
      <c r="D16" s="1025"/>
      <c r="E16" s="1025"/>
      <c r="F16" s="1025"/>
      <c r="G16" s="1025"/>
      <c r="H16" s="1025"/>
      <c r="I16" s="1025"/>
      <c r="J16" s="1025"/>
      <c r="K16" s="1025"/>
      <c r="L16" s="1025"/>
      <c r="M16" s="1025"/>
      <c r="N16" s="1025"/>
      <c r="O16" s="1025"/>
      <c r="P16" s="1025"/>
      <c r="Q16" s="1025"/>
      <c r="R16" s="1025"/>
      <c r="S16" s="1025"/>
    </row>
    <row r="17" spans="1:19" ht="12.75">
      <c r="A17" s="1048">
        <v>2.01</v>
      </c>
      <c r="B17" s="1013" t="s">
        <v>936</v>
      </c>
      <c r="C17" s="1025">
        <v>0</v>
      </c>
      <c r="D17" s="1025">
        <v>557</v>
      </c>
      <c r="E17" s="1025"/>
      <c r="F17" s="1025"/>
      <c r="G17" s="1025">
        <f aca="true" t="shared" si="0" ref="G17:G80">ROUND(SUM(C17:F17)/2,0)</f>
        <v>279</v>
      </c>
      <c r="H17" s="1025"/>
      <c r="I17" s="1025"/>
      <c r="J17" s="1025">
        <v>278.5</v>
      </c>
      <c r="K17" s="1025"/>
      <c r="L17" s="1025"/>
      <c r="M17" s="1013"/>
      <c r="N17" s="1013">
        <v>0</v>
      </c>
      <c r="O17" s="1013"/>
      <c r="P17" s="1025"/>
      <c r="Q17" s="1013"/>
      <c r="R17" s="1013">
        <v>557</v>
      </c>
      <c r="S17" s="1013"/>
    </row>
    <row r="18" spans="1:19" ht="12.75">
      <c r="A18" s="1048">
        <f>A17+0.01</f>
        <v>2.0199999999999996</v>
      </c>
      <c r="B18" s="1013" t="s">
        <v>928</v>
      </c>
      <c r="C18" s="1025">
        <v>0</v>
      </c>
      <c r="D18" s="1025">
        <v>0</v>
      </c>
      <c r="E18" s="1025"/>
      <c r="F18" s="1025"/>
      <c r="G18" s="1025">
        <f t="shared" si="0"/>
        <v>0</v>
      </c>
      <c r="H18" s="1025"/>
      <c r="I18" s="1025"/>
      <c r="J18" s="1025">
        <v>0</v>
      </c>
      <c r="K18" s="1025"/>
      <c r="L18" s="1025"/>
      <c r="M18" s="1013"/>
      <c r="N18" s="1013">
        <v>0</v>
      </c>
      <c r="O18" s="1013"/>
      <c r="P18" s="1025"/>
      <c r="Q18" s="1013"/>
      <c r="R18" s="1013">
        <v>0</v>
      </c>
      <c r="S18" s="1013"/>
    </row>
    <row r="19" spans="1:19" ht="12.75">
      <c r="A19" s="1048">
        <f aca="true" t="shared" si="1" ref="A19:A82">A18+0.01</f>
        <v>2.0299999999999994</v>
      </c>
      <c r="B19" s="1013" t="s">
        <v>944</v>
      </c>
      <c r="C19" s="1025">
        <v>234363</v>
      </c>
      <c r="D19" s="1025">
        <v>1742709</v>
      </c>
      <c r="E19" s="1025"/>
      <c r="F19" s="1025"/>
      <c r="G19" s="1025">
        <f t="shared" si="0"/>
        <v>988536</v>
      </c>
      <c r="H19" s="1025"/>
      <c r="I19" s="1025"/>
      <c r="J19" s="1025">
        <v>988536</v>
      </c>
      <c r="K19" s="1025"/>
      <c r="L19" s="1025"/>
      <c r="M19" s="1013"/>
      <c r="N19" s="1013">
        <v>234363</v>
      </c>
      <c r="O19" s="1013"/>
      <c r="P19" s="1025"/>
      <c r="Q19" s="1013"/>
      <c r="R19" s="1013">
        <v>1742709</v>
      </c>
      <c r="S19" s="1013"/>
    </row>
    <row r="20" spans="1:19" ht="12.75">
      <c r="A20" s="1048">
        <f t="shared" si="1"/>
        <v>2.039999999999999</v>
      </c>
      <c r="B20" s="1013" t="s">
        <v>945</v>
      </c>
      <c r="C20" s="1025">
        <v>87732</v>
      </c>
      <c r="D20" s="1025">
        <v>85572</v>
      </c>
      <c r="E20" s="1025"/>
      <c r="F20" s="1025"/>
      <c r="G20" s="1025">
        <f t="shared" si="0"/>
        <v>86652</v>
      </c>
      <c r="H20" s="1025"/>
      <c r="I20" s="1025"/>
      <c r="J20" s="1025">
        <v>86652</v>
      </c>
      <c r="K20" s="1025"/>
      <c r="L20" s="1025"/>
      <c r="M20" s="1013"/>
      <c r="N20" s="1013">
        <v>87732</v>
      </c>
      <c r="O20" s="1013"/>
      <c r="P20" s="1025"/>
      <c r="Q20" s="1013"/>
      <c r="R20" s="1013">
        <v>85572</v>
      </c>
      <c r="S20" s="1013"/>
    </row>
    <row r="21" spans="1:19" ht="12.75">
      <c r="A21" s="1048">
        <f t="shared" si="1"/>
        <v>2.049999999999999</v>
      </c>
      <c r="B21" s="1013" t="s">
        <v>946</v>
      </c>
      <c r="C21" s="1025">
        <v>0</v>
      </c>
      <c r="D21" s="1025">
        <v>-4</v>
      </c>
      <c r="E21" s="1025"/>
      <c r="F21" s="1025"/>
      <c r="G21" s="1025">
        <f t="shared" si="0"/>
        <v>-2</v>
      </c>
      <c r="H21" s="1025"/>
      <c r="I21" s="1025"/>
      <c r="J21" s="1025">
        <v>-2</v>
      </c>
      <c r="K21" s="1025"/>
      <c r="L21" s="1025"/>
      <c r="M21" s="1013"/>
      <c r="N21" s="1013">
        <v>0</v>
      </c>
      <c r="O21" s="1013"/>
      <c r="P21" s="1025"/>
      <c r="Q21" s="1013"/>
      <c r="R21" s="1013">
        <v>-4</v>
      </c>
      <c r="S21" s="1013"/>
    </row>
    <row r="22" spans="1:19" ht="12.75">
      <c r="A22" s="1048">
        <f t="shared" si="1"/>
        <v>2.0599999999999987</v>
      </c>
      <c r="B22" s="1013" t="s">
        <v>690</v>
      </c>
      <c r="C22" s="1025">
        <v>7564244</v>
      </c>
      <c r="D22" s="1025">
        <v>10109807</v>
      </c>
      <c r="E22" s="1025"/>
      <c r="F22" s="1025"/>
      <c r="G22" s="1025">
        <f t="shared" si="0"/>
        <v>8837026</v>
      </c>
      <c r="H22" s="1025"/>
      <c r="I22" s="1025"/>
      <c r="J22" s="1025">
        <v>8837025.5</v>
      </c>
      <c r="K22" s="1025"/>
      <c r="L22" s="1025"/>
      <c r="M22" s="1013"/>
      <c r="N22" s="1013">
        <v>7564244</v>
      </c>
      <c r="O22" s="1013"/>
      <c r="P22" s="1025"/>
      <c r="Q22" s="1013"/>
      <c r="R22" s="1013">
        <v>10109807</v>
      </c>
      <c r="S22" s="1013"/>
    </row>
    <row r="23" spans="1:19" ht="12.75">
      <c r="A23" s="1048">
        <f t="shared" si="1"/>
        <v>2.0699999999999985</v>
      </c>
      <c r="B23" s="1013" t="s">
        <v>947</v>
      </c>
      <c r="C23" s="1025">
        <v>1702</v>
      </c>
      <c r="D23" s="1025">
        <v>1702</v>
      </c>
      <c r="E23" s="1025"/>
      <c r="F23" s="1025"/>
      <c r="G23" s="1025">
        <f t="shared" si="0"/>
        <v>1702</v>
      </c>
      <c r="H23" s="1025"/>
      <c r="I23" s="1025"/>
      <c r="J23" s="1025">
        <v>1702</v>
      </c>
      <c r="K23" s="1025"/>
      <c r="L23" s="1025"/>
      <c r="M23" s="1013"/>
      <c r="N23" s="1013">
        <v>1702</v>
      </c>
      <c r="O23" s="1013"/>
      <c r="P23" s="1025"/>
      <c r="Q23" s="1013"/>
      <c r="R23" s="1013">
        <v>1702</v>
      </c>
      <c r="S23" s="1013"/>
    </row>
    <row r="24" spans="1:19" ht="12.75">
      <c r="A24" s="1048">
        <f t="shared" si="1"/>
        <v>2.0799999999999983</v>
      </c>
      <c r="B24" s="1013" t="s">
        <v>948</v>
      </c>
      <c r="C24" s="1025">
        <v>3072000</v>
      </c>
      <c r="D24" s="1025">
        <v>476721</v>
      </c>
      <c r="E24" s="1025"/>
      <c r="F24" s="1025"/>
      <c r="G24" s="1025">
        <f t="shared" si="0"/>
        <v>1774361</v>
      </c>
      <c r="H24" s="1025"/>
      <c r="I24" s="1025"/>
      <c r="J24" s="1025">
        <v>1774360.5</v>
      </c>
      <c r="K24" s="1025"/>
      <c r="L24" s="1025"/>
      <c r="M24" s="1013"/>
      <c r="N24" s="1013">
        <v>3072000</v>
      </c>
      <c r="O24" s="1013"/>
      <c r="P24" s="1025"/>
      <c r="Q24" s="1013"/>
      <c r="R24" s="1013">
        <v>476721</v>
      </c>
      <c r="S24" s="1013"/>
    </row>
    <row r="25" spans="1:19" ht="12.75">
      <c r="A25" s="1048">
        <f t="shared" si="1"/>
        <v>2.089999999999998</v>
      </c>
      <c r="B25" s="1013" t="s">
        <v>949</v>
      </c>
      <c r="C25" s="1025">
        <v>0</v>
      </c>
      <c r="D25" s="1025">
        <v>408997</v>
      </c>
      <c r="E25" s="1025"/>
      <c r="F25" s="1025"/>
      <c r="G25" s="1025">
        <f t="shared" si="0"/>
        <v>204499</v>
      </c>
      <c r="H25" s="1025"/>
      <c r="I25" s="1025">
        <v>0</v>
      </c>
      <c r="J25" s="1025">
        <v>204498.5</v>
      </c>
      <c r="K25" s="1025">
        <v>0</v>
      </c>
      <c r="L25" s="1025"/>
      <c r="M25" s="1013"/>
      <c r="N25" s="1013">
        <v>0</v>
      </c>
      <c r="O25" s="1013"/>
      <c r="P25" s="1025"/>
      <c r="Q25" s="1013"/>
      <c r="R25" s="1013">
        <v>408997</v>
      </c>
      <c r="S25" s="1013"/>
    </row>
    <row r="26" spans="1:19" ht="12.75">
      <c r="A26" s="1048">
        <f t="shared" si="1"/>
        <v>2.099999999999998</v>
      </c>
      <c r="B26" s="1013" t="s">
        <v>933</v>
      </c>
      <c r="C26" s="1025">
        <v>203367</v>
      </c>
      <c r="D26" s="1025">
        <v>122984</v>
      </c>
      <c r="E26" s="1025">
        <v>-203367</v>
      </c>
      <c r="F26" s="1025">
        <v>-122984</v>
      </c>
      <c r="G26" s="1025">
        <f t="shared" si="0"/>
        <v>0</v>
      </c>
      <c r="H26" s="1025"/>
      <c r="I26" s="1025"/>
      <c r="J26" s="1025"/>
      <c r="K26" s="1025"/>
      <c r="L26" s="1025"/>
      <c r="M26" s="1013"/>
      <c r="N26" s="1013"/>
      <c r="O26" s="1013"/>
      <c r="P26" s="1025"/>
      <c r="Q26" s="1013"/>
      <c r="R26" s="1013"/>
      <c r="S26" s="1013"/>
    </row>
    <row r="27" spans="1:19" ht="12.75">
      <c r="A27" s="1048">
        <f t="shared" si="1"/>
        <v>2.1099999999999977</v>
      </c>
      <c r="B27" s="1013" t="s">
        <v>950</v>
      </c>
      <c r="C27" s="1025">
        <v>0</v>
      </c>
      <c r="D27" s="1025">
        <v>0</v>
      </c>
      <c r="E27" s="1025">
        <v>0</v>
      </c>
      <c r="F27" s="1025">
        <v>0</v>
      </c>
      <c r="G27" s="1025">
        <f t="shared" si="0"/>
        <v>0</v>
      </c>
      <c r="H27" s="1025"/>
      <c r="I27" s="1025"/>
      <c r="J27" s="1025"/>
      <c r="K27" s="1025"/>
      <c r="L27" s="1025"/>
      <c r="M27" s="1013"/>
      <c r="N27" s="1013"/>
      <c r="O27" s="1013"/>
      <c r="P27" s="1025"/>
      <c r="Q27" s="1013"/>
      <c r="R27" s="1013"/>
      <c r="S27" s="1013"/>
    </row>
    <row r="28" spans="1:19" ht="12.75">
      <c r="A28" s="1048">
        <f t="shared" si="1"/>
        <v>2.1199999999999974</v>
      </c>
      <c r="B28" s="1013" t="s">
        <v>951</v>
      </c>
      <c r="C28" s="1025">
        <v>0</v>
      </c>
      <c r="D28" s="1025">
        <v>14045464</v>
      </c>
      <c r="E28" s="1025">
        <v>0</v>
      </c>
      <c r="F28" s="1025">
        <v>-14045464</v>
      </c>
      <c r="G28" s="1025">
        <f t="shared" si="0"/>
        <v>0</v>
      </c>
      <c r="H28" s="1025"/>
      <c r="I28" s="1025"/>
      <c r="J28" s="1025"/>
      <c r="K28" s="1025"/>
      <c r="L28" s="1025"/>
      <c r="M28" s="1013"/>
      <c r="N28" s="1013"/>
      <c r="O28" s="1013"/>
      <c r="P28" s="1025"/>
      <c r="Q28" s="1013"/>
      <c r="R28" s="1013"/>
      <c r="S28" s="1013"/>
    </row>
    <row r="29" spans="1:19" ht="12.75">
      <c r="A29" s="1048">
        <f t="shared" si="1"/>
        <v>2.1299999999999972</v>
      </c>
      <c r="B29" s="1013" t="s">
        <v>952</v>
      </c>
      <c r="C29" s="1025">
        <v>0</v>
      </c>
      <c r="D29" s="1025">
        <v>0</v>
      </c>
      <c r="E29" s="1025">
        <v>0</v>
      </c>
      <c r="F29" s="1025">
        <v>0</v>
      </c>
      <c r="G29" s="1025">
        <f t="shared" si="0"/>
        <v>0</v>
      </c>
      <c r="H29" s="1025"/>
      <c r="I29" s="1025"/>
      <c r="J29" s="1025"/>
      <c r="K29" s="1025"/>
      <c r="L29" s="1025"/>
      <c r="M29" s="1013"/>
      <c r="N29" s="1013"/>
      <c r="O29" s="1013"/>
      <c r="P29" s="1025"/>
      <c r="Q29" s="1013"/>
      <c r="R29" s="1013"/>
      <c r="S29" s="1013"/>
    </row>
    <row r="30" spans="1:19" ht="12.75">
      <c r="A30" s="1048">
        <f t="shared" si="1"/>
        <v>2.139999999999997</v>
      </c>
      <c r="B30" s="1013" t="s">
        <v>953</v>
      </c>
      <c r="C30" s="1025">
        <v>0</v>
      </c>
      <c r="D30" s="1025">
        <v>0</v>
      </c>
      <c r="E30" s="1025">
        <v>0</v>
      </c>
      <c r="F30" s="1025">
        <v>0</v>
      </c>
      <c r="G30" s="1025">
        <f t="shared" si="0"/>
        <v>0</v>
      </c>
      <c r="H30" s="1025"/>
      <c r="I30" s="1025"/>
      <c r="J30" s="1025"/>
      <c r="K30" s="1025"/>
      <c r="L30" s="1025"/>
      <c r="M30" s="1013"/>
      <c r="N30" s="1013"/>
      <c r="O30" s="1013"/>
      <c r="P30" s="1025"/>
      <c r="Q30" s="1013"/>
      <c r="R30" s="1013"/>
      <c r="S30" s="1013"/>
    </row>
    <row r="31" spans="1:19" ht="12.75">
      <c r="A31" s="1048">
        <f t="shared" si="1"/>
        <v>2.149999999999997</v>
      </c>
      <c r="B31" s="1013" t="s">
        <v>954</v>
      </c>
      <c r="C31" s="1025">
        <v>0</v>
      </c>
      <c r="D31" s="1025">
        <v>0</v>
      </c>
      <c r="E31" s="1025">
        <v>0</v>
      </c>
      <c r="F31" s="1025">
        <v>0</v>
      </c>
      <c r="G31" s="1025">
        <f t="shared" si="0"/>
        <v>0</v>
      </c>
      <c r="H31" s="1025"/>
      <c r="I31" s="1025"/>
      <c r="J31" s="1025"/>
      <c r="K31" s="1025"/>
      <c r="L31" s="1025"/>
      <c r="M31" s="1013"/>
      <c r="N31" s="1013"/>
      <c r="O31" s="1013"/>
      <c r="P31" s="1025"/>
      <c r="Q31" s="1013"/>
      <c r="R31" s="1013"/>
      <c r="S31" s="1013"/>
    </row>
    <row r="32" spans="1:19" ht="12.75">
      <c r="A32" s="1048">
        <f t="shared" si="1"/>
        <v>2.1599999999999966</v>
      </c>
      <c r="B32" s="1013"/>
      <c r="C32" s="1025">
        <f aca="true" t="shared" si="2" ref="C32:C80">SUM(M32:O32)</f>
        <v>0</v>
      </c>
      <c r="D32" s="1025">
        <f aca="true" t="shared" si="3" ref="D32:D80">SUM(Q32:S32)</f>
        <v>0</v>
      </c>
      <c r="E32" s="1025"/>
      <c r="F32" s="1025"/>
      <c r="G32" s="1025">
        <f t="shared" si="0"/>
        <v>0</v>
      </c>
      <c r="H32" s="1025"/>
      <c r="I32" s="1025">
        <f aca="true" t="shared" si="4" ref="I32:K48">(M32+Q32)/2</f>
        <v>0</v>
      </c>
      <c r="J32" s="1025">
        <f t="shared" si="4"/>
        <v>0</v>
      </c>
      <c r="K32" s="1025">
        <f t="shared" si="4"/>
        <v>0</v>
      </c>
      <c r="L32" s="1025"/>
      <c r="M32" s="1013"/>
      <c r="N32" s="1013"/>
      <c r="O32" s="1013"/>
      <c r="P32" s="1025"/>
      <c r="Q32" s="1013"/>
      <c r="R32" s="1013"/>
      <c r="S32" s="1013"/>
    </row>
    <row r="33" spans="1:19" ht="12.75" hidden="1">
      <c r="A33" s="1048">
        <f t="shared" si="1"/>
        <v>2.1699999999999964</v>
      </c>
      <c r="B33" s="1013"/>
      <c r="C33" s="1025">
        <f t="shared" si="2"/>
        <v>0</v>
      </c>
      <c r="D33" s="1025">
        <f t="shared" si="3"/>
        <v>0</v>
      </c>
      <c r="E33" s="1025"/>
      <c r="F33" s="1025"/>
      <c r="G33" s="1025">
        <f t="shared" si="0"/>
        <v>0</v>
      </c>
      <c r="H33" s="1025"/>
      <c r="I33" s="1025">
        <f t="shared" si="4"/>
        <v>0</v>
      </c>
      <c r="J33" s="1025">
        <f t="shared" si="4"/>
        <v>0</v>
      </c>
      <c r="K33" s="1025">
        <f t="shared" si="4"/>
        <v>0</v>
      </c>
      <c r="L33" s="1025"/>
      <c r="M33" s="1013"/>
      <c r="N33" s="1013"/>
      <c r="O33" s="1013"/>
      <c r="P33" s="1025"/>
      <c r="Q33" s="1013"/>
      <c r="R33" s="1013"/>
      <c r="S33" s="1013"/>
    </row>
    <row r="34" spans="1:19" ht="12.75" hidden="1">
      <c r="A34" s="1048">
        <f t="shared" si="1"/>
        <v>2.179999999999996</v>
      </c>
      <c r="B34" s="1013"/>
      <c r="C34" s="1025">
        <f t="shared" si="2"/>
        <v>0</v>
      </c>
      <c r="D34" s="1025">
        <f t="shared" si="3"/>
        <v>0</v>
      </c>
      <c r="E34" s="1025"/>
      <c r="F34" s="1025"/>
      <c r="G34" s="1025">
        <f t="shared" si="0"/>
        <v>0</v>
      </c>
      <c r="H34" s="1025"/>
      <c r="I34" s="1025">
        <f t="shared" si="4"/>
        <v>0</v>
      </c>
      <c r="J34" s="1025">
        <f t="shared" si="4"/>
        <v>0</v>
      </c>
      <c r="K34" s="1025">
        <f t="shared" si="4"/>
        <v>0</v>
      </c>
      <c r="L34" s="1025"/>
      <c r="M34" s="1013"/>
      <c r="N34" s="1013"/>
      <c r="O34" s="1013"/>
      <c r="P34" s="1025"/>
      <c r="Q34" s="1013"/>
      <c r="R34" s="1013"/>
      <c r="S34" s="1013"/>
    </row>
    <row r="35" spans="1:19" ht="12.75" hidden="1">
      <c r="A35" s="1048">
        <f t="shared" si="1"/>
        <v>2.189999999999996</v>
      </c>
      <c r="B35" s="1013"/>
      <c r="C35" s="1025">
        <f t="shared" si="2"/>
        <v>0</v>
      </c>
      <c r="D35" s="1025">
        <f t="shared" si="3"/>
        <v>0</v>
      </c>
      <c r="E35" s="1025"/>
      <c r="F35" s="1025"/>
      <c r="G35" s="1025">
        <f t="shared" si="0"/>
        <v>0</v>
      </c>
      <c r="H35" s="1025"/>
      <c r="I35" s="1025">
        <f t="shared" si="4"/>
        <v>0</v>
      </c>
      <c r="J35" s="1025">
        <f t="shared" si="4"/>
        <v>0</v>
      </c>
      <c r="K35" s="1025">
        <f t="shared" si="4"/>
        <v>0</v>
      </c>
      <c r="L35" s="1025"/>
      <c r="M35" s="1013"/>
      <c r="N35" s="1013"/>
      <c r="O35" s="1013"/>
      <c r="P35" s="1025"/>
      <c r="Q35" s="1013"/>
      <c r="R35" s="1013"/>
      <c r="S35" s="1013"/>
    </row>
    <row r="36" spans="1:19" ht="12.75" hidden="1">
      <c r="A36" s="1048">
        <f t="shared" si="1"/>
        <v>2.1999999999999957</v>
      </c>
      <c r="B36" s="1013"/>
      <c r="C36" s="1025">
        <f t="shared" si="2"/>
        <v>0</v>
      </c>
      <c r="D36" s="1025">
        <f t="shared" si="3"/>
        <v>0</v>
      </c>
      <c r="E36" s="1025"/>
      <c r="F36" s="1025"/>
      <c r="G36" s="1025">
        <f t="shared" si="0"/>
        <v>0</v>
      </c>
      <c r="H36" s="1025"/>
      <c r="I36" s="1025">
        <f t="shared" si="4"/>
        <v>0</v>
      </c>
      <c r="J36" s="1025">
        <f t="shared" si="4"/>
        <v>0</v>
      </c>
      <c r="K36" s="1025">
        <f t="shared" si="4"/>
        <v>0</v>
      </c>
      <c r="L36" s="1025"/>
      <c r="M36" s="1013"/>
      <c r="N36" s="1013"/>
      <c r="O36" s="1013"/>
      <c r="P36" s="1025"/>
      <c r="Q36" s="1013"/>
      <c r="R36" s="1013"/>
      <c r="S36" s="1013"/>
    </row>
    <row r="37" spans="1:19" ht="12.75" hidden="1">
      <c r="A37" s="1048">
        <f t="shared" si="1"/>
        <v>2.2099999999999955</v>
      </c>
      <c r="B37" s="1013"/>
      <c r="C37" s="1025">
        <f t="shared" si="2"/>
        <v>0</v>
      </c>
      <c r="D37" s="1025">
        <f t="shared" si="3"/>
        <v>0</v>
      </c>
      <c r="E37" s="1025"/>
      <c r="F37" s="1025"/>
      <c r="G37" s="1025">
        <f t="shared" si="0"/>
        <v>0</v>
      </c>
      <c r="H37" s="1025"/>
      <c r="I37" s="1025">
        <f t="shared" si="4"/>
        <v>0</v>
      </c>
      <c r="J37" s="1025">
        <f t="shared" si="4"/>
        <v>0</v>
      </c>
      <c r="K37" s="1025">
        <f t="shared" si="4"/>
        <v>0</v>
      </c>
      <c r="L37" s="1025"/>
      <c r="M37" s="1013"/>
      <c r="N37" s="1013"/>
      <c r="O37" s="1013"/>
      <c r="P37" s="1025"/>
      <c r="Q37" s="1013"/>
      <c r="R37" s="1013"/>
      <c r="S37" s="1013"/>
    </row>
    <row r="38" spans="1:19" ht="12.75" hidden="1">
      <c r="A38" s="1048">
        <f t="shared" si="1"/>
        <v>2.2199999999999953</v>
      </c>
      <c r="B38" s="1013"/>
      <c r="C38" s="1025">
        <f t="shared" si="2"/>
        <v>0</v>
      </c>
      <c r="D38" s="1025">
        <f t="shared" si="3"/>
        <v>0</v>
      </c>
      <c r="E38" s="1025"/>
      <c r="F38" s="1025"/>
      <c r="G38" s="1025">
        <f t="shared" si="0"/>
        <v>0</v>
      </c>
      <c r="H38" s="1025"/>
      <c r="I38" s="1025">
        <f t="shared" si="4"/>
        <v>0</v>
      </c>
      <c r="J38" s="1025">
        <f t="shared" si="4"/>
        <v>0</v>
      </c>
      <c r="K38" s="1025">
        <f t="shared" si="4"/>
        <v>0</v>
      </c>
      <c r="L38" s="1025"/>
      <c r="M38" s="1013"/>
      <c r="N38" s="1013"/>
      <c r="O38" s="1013"/>
      <c r="P38" s="1025"/>
      <c r="Q38" s="1013"/>
      <c r="R38" s="1013"/>
      <c r="S38" s="1013"/>
    </row>
    <row r="39" spans="1:19" ht="12.75" hidden="1">
      <c r="A39" s="1048">
        <f t="shared" si="1"/>
        <v>2.229999999999995</v>
      </c>
      <c r="B39" s="1013"/>
      <c r="C39" s="1025">
        <f t="shared" si="2"/>
        <v>0</v>
      </c>
      <c r="D39" s="1025">
        <f t="shared" si="3"/>
        <v>0</v>
      </c>
      <c r="E39" s="1025"/>
      <c r="F39" s="1025"/>
      <c r="G39" s="1025">
        <f t="shared" si="0"/>
        <v>0</v>
      </c>
      <c r="H39" s="1025"/>
      <c r="I39" s="1025">
        <f t="shared" si="4"/>
        <v>0</v>
      </c>
      <c r="J39" s="1025">
        <f t="shared" si="4"/>
        <v>0</v>
      </c>
      <c r="K39" s="1025">
        <f t="shared" si="4"/>
        <v>0</v>
      </c>
      <c r="L39" s="1025"/>
      <c r="M39" s="1013"/>
      <c r="N39" s="1013"/>
      <c r="O39" s="1013"/>
      <c r="P39" s="1025"/>
      <c r="Q39" s="1013"/>
      <c r="R39" s="1013"/>
      <c r="S39" s="1013"/>
    </row>
    <row r="40" spans="1:19" ht="12.75" hidden="1">
      <c r="A40" s="1048">
        <f t="shared" si="1"/>
        <v>2.239999999999995</v>
      </c>
      <c r="B40" s="1013"/>
      <c r="C40" s="1025">
        <f t="shared" si="2"/>
        <v>0</v>
      </c>
      <c r="D40" s="1025">
        <f t="shared" si="3"/>
        <v>0</v>
      </c>
      <c r="E40" s="1025"/>
      <c r="F40" s="1025"/>
      <c r="G40" s="1025">
        <f t="shared" si="0"/>
        <v>0</v>
      </c>
      <c r="H40" s="1025"/>
      <c r="I40" s="1025">
        <f t="shared" si="4"/>
        <v>0</v>
      </c>
      <c r="J40" s="1025">
        <f t="shared" si="4"/>
        <v>0</v>
      </c>
      <c r="K40" s="1025">
        <f t="shared" si="4"/>
        <v>0</v>
      </c>
      <c r="L40" s="1025"/>
      <c r="M40" s="1013"/>
      <c r="N40" s="1013"/>
      <c r="O40" s="1013"/>
      <c r="P40" s="1025"/>
      <c r="Q40" s="1013"/>
      <c r="R40" s="1013"/>
      <c r="S40" s="1013"/>
    </row>
    <row r="41" spans="1:19" ht="12.75" hidden="1">
      <c r="A41" s="1048">
        <f t="shared" si="1"/>
        <v>2.2499999999999947</v>
      </c>
      <c r="B41" s="1013"/>
      <c r="C41" s="1025">
        <f t="shared" si="2"/>
        <v>0</v>
      </c>
      <c r="D41" s="1025">
        <f t="shared" si="3"/>
        <v>0</v>
      </c>
      <c r="E41" s="1025"/>
      <c r="F41" s="1025"/>
      <c r="G41" s="1025">
        <f t="shared" si="0"/>
        <v>0</v>
      </c>
      <c r="H41" s="1025"/>
      <c r="I41" s="1025">
        <f t="shared" si="4"/>
        <v>0</v>
      </c>
      <c r="J41" s="1025">
        <f t="shared" si="4"/>
        <v>0</v>
      </c>
      <c r="K41" s="1025">
        <f t="shared" si="4"/>
        <v>0</v>
      </c>
      <c r="L41" s="1025"/>
      <c r="M41" s="1013"/>
      <c r="N41" s="1013"/>
      <c r="O41" s="1013"/>
      <c r="P41" s="1025"/>
      <c r="Q41" s="1013"/>
      <c r="R41" s="1013"/>
      <c r="S41" s="1013"/>
    </row>
    <row r="42" spans="1:19" ht="12.75" hidden="1">
      <c r="A42" s="1048">
        <f t="shared" si="1"/>
        <v>2.2599999999999945</v>
      </c>
      <c r="B42" s="1013"/>
      <c r="C42" s="1025">
        <f t="shared" si="2"/>
        <v>0</v>
      </c>
      <c r="D42" s="1025">
        <f t="shared" si="3"/>
        <v>0</v>
      </c>
      <c r="E42" s="1025"/>
      <c r="F42" s="1025"/>
      <c r="G42" s="1025">
        <f t="shared" si="0"/>
        <v>0</v>
      </c>
      <c r="H42" s="1025"/>
      <c r="I42" s="1025">
        <f t="shared" si="4"/>
        <v>0</v>
      </c>
      <c r="J42" s="1025">
        <f t="shared" si="4"/>
        <v>0</v>
      </c>
      <c r="K42" s="1025">
        <f t="shared" si="4"/>
        <v>0</v>
      </c>
      <c r="L42" s="1025"/>
      <c r="M42" s="1013"/>
      <c r="N42" s="1013"/>
      <c r="O42" s="1013"/>
      <c r="P42" s="1025"/>
      <c r="Q42" s="1013"/>
      <c r="R42" s="1013"/>
      <c r="S42" s="1013"/>
    </row>
    <row r="43" spans="1:19" ht="12.75" hidden="1">
      <c r="A43" s="1048">
        <f t="shared" si="1"/>
        <v>2.2699999999999942</v>
      </c>
      <c r="B43" s="1013"/>
      <c r="C43" s="1025">
        <f t="shared" si="2"/>
        <v>0</v>
      </c>
      <c r="D43" s="1025">
        <f t="shared" si="3"/>
        <v>0</v>
      </c>
      <c r="E43" s="1025"/>
      <c r="F43" s="1025"/>
      <c r="G43" s="1025">
        <f t="shared" si="0"/>
        <v>0</v>
      </c>
      <c r="H43" s="1025"/>
      <c r="I43" s="1025">
        <f t="shared" si="4"/>
        <v>0</v>
      </c>
      <c r="J43" s="1025">
        <f t="shared" si="4"/>
        <v>0</v>
      </c>
      <c r="K43" s="1025">
        <f t="shared" si="4"/>
        <v>0</v>
      </c>
      <c r="L43" s="1025"/>
      <c r="M43" s="1013"/>
      <c r="N43" s="1013"/>
      <c r="O43" s="1013"/>
      <c r="P43" s="1025"/>
      <c r="Q43" s="1013"/>
      <c r="R43" s="1013"/>
      <c r="S43" s="1013"/>
    </row>
    <row r="44" spans="1:19" ht="12.75" hidden="1">
      <c r="A44" s="1048">
        <f t="shared" si="1"/>
        <v>2.279999999999994</v>
      </c>
      <c r="B44" s="1013"/>
      <c r="C44" s="1025">
        <f t="shared" si="2"/>
        <v>0</v>
      </c>
      <c r="D44" s="1025">
        <f t="shared" si="3"/>
        <v>0</v>
      </c>
      <c r="E44" s="1025"/>
      <c r="F44" s="1025"/>
      <c r="G44" s="1025">
        <f t="shared" si="0"/>
        <v>0</v>
      </c>
      <c r="H44" s="1025"/>
      <c r="I44" s="1025">
        <f t="shared" si="4"/>
        <v>0</v>
      </c>
      <c r="J44" s="1025">
        <f t="shared" si="4"/>
        <v>0</v>
      </c>
      <c r="K44" s="1025">
        <f t="shared" si="4"/>
        <v>0</v>
      </c>
      <c r="L44" s="1025"/>
      <c r="M44" s="1013"/>
      <c r="N44" s="1013"/>
      <c r="O44" s="1013"/>
      <c r="P44" s="1025"/>
      <c r="Q44" s="1013"/>
      <c r="R44" s="1013"/>
      <c r="S44" s="1013"/>
    </row>
    <row r="45" spans="1:19" ht="12.75" hidden="1">
      <c r="A45" s="1048">
        <f t="shared" si="1"/>
        <v>2.289999999999994</v>
      </c>
      <c r="B45" s="1013"/>
      <c r="C45" s="1025">
        <f t="shared" si="2"/>
        <v>0</v>
      </c>
      <c r="D45" s="1025">
        <f t="shared" si="3"/>
        <v>0</v>
      </c>
      <c r="E45" s="1025"/>
      <c r="F45" s="1025"/>
      <c r="G45" s="1025">
        <f t="shared" si="0"/>
        <v>0</v>
      </c>
      <c r="H45" s="1025"/>
      <c r="I45" s="1025">
        <f t="shared" si="4"/>
        <v>0</v>
      </c>
      <c r="J45" s="1025">
        <f t="shared" si="4"/>
        <v>0</v>
      </c>
      <c r="K45" s="1025">
        <f t="shared" si="4"/>
        <v>0</v>
      </c>
      <c r="L45" s="1025"/>
      <c r="M45" s="1013"/>
      <c r="N45" s="1013"/>
      <c r="O45" s="1013"/>
      <c r="P45" s="1025"/>
      <c r="Q45" s="1013"/>
      <c r="R45" s="1013"/>
      <c r="S45" s="1013"/>
    </row>
    <row r="46" spans="1:19" ht="12.75" hidden="1">
      <c r="A46" s="1048">
        <f t="shared" si="1"/>
        <v>2.2999999999999936</v>
      </c>
      <c r="B46" s="1013"/>
      <c r="C46" s="1025">
        <f t="shared" si="2"/>
        <v>0</v>
      </c>
      <c r="D46" s="1025">
        <f t="shared" si="3"/>
        <v>0</v>
      </c>
      <c r="E46" s="1025"/>
      <c r="F46" s="1025"/>
      <c r="G46" s="1025">
        <f t="shared" si="0"/>
        <v>0</v>
      </c>
      <c r="H46" s="1025"/>
      <c r="I46" s="1025">
        <f t="shared" si="4"/>
        <v>0</v>
      </c>
      <c r="J46" s="1025">
        <f t="shared" si="4"/>
        <v>0</v>
      </c>
      <c r="K46" s="1025">
        <f t="shared" si="4"/>
        <v>0</v>
      </c>
      <c r="L46" s="1025"/>
      <c r="M46" s="1013"/>
      <c r="N46" s="1013"/>
      <c r="O46" s="1013"/>
      <c r="P46" s="1025"/>
      <c r="Q46" s="1013"/>
      <c r="R46" s="1013"/>
      <c r="S46" s="1013"/>
    </row>
    <row r="47" spans="1:19" ht="12.75" hidden="1">
      <c r="A47" s="1048">
        <f t="shared" si="1"/>
        <v>2.3099999999999934</v>
      </c>
      <c r="B47" s="1013"/>
      <c r="C47" s="1025">
        <f t="shared" si="2"/>
        <v>0</v>
      </c>
      <c r="D47" s="1025">
        <f t="shared" si="3"/>
        <v>0</v>
      </c>
      <c r="E47" s="1025"/>
      <c r="F47" s="1025"/>
      <c r="G47" s="1025">
        <f t="shared" si="0"/>
        <v>0</v>
      </c>
      <c r="H47" s="1025"/>
      <c r="I47" s="1025">
        <f t="shared" si="4"/>
        <v>0</v>
      </c>
      <c r="J47" s="1025">
        <f t="shared" si="4"/>
        <v>0</v>
      </c>
      <c r="K47" s="1025">
        <f t="shared" si="4"/>
        <v>0</v>
      </c>
      <c r="L47" s="1025"/>
      <c r="M47" s="1013"/>
      <c r="N47" s="1013"/>
      <c r="O47" s="1013"/>
      <c r="P47" s="1025"/>
      <c r="Q47" s="1013"/>
      <c r="R47" s="1013"/>
      <c r="S47" s="1013"/>
    </row>
    <row r="48" spans="1:19" ht="12.75" hidden="1">
      <c r="A48" s="1048">
        <f t="shared" si="1"/>
        <v>2.319999999999993</v>
      </c>
      <c r="B48" s="1013"/>
      <c r="C48" s="1025">
        <f t="shared" si="2"/>
        <v>0</v>
      </c>
      <c r="D48" s="1025">
        <f t="shared" si="3"/>
        <v>0</v>
      </c>
      <c r="E48" s="1025"/>
      <c r="F48" s="1025"/>
      <c r="G48" s="1025">
        <f t="shared" si="0"/>
        <v>0</v>
      </c>
      <c r="H48" s="1025"/>
      <c r="I48" s="1025">
        <f t="shared" si="4"/>
        <v>0</v>
      </c>
      <c r="J48" s="1025">
        <f t="shared" si="4"/>
        <v>0</v>
      </c>
      <c r="K48" s="1025">
        <f t="shared" si="4"/>
        <v>0</v>
      </c>
      <c r="L48" s="1025"/>
      <c r="M48" s="1013"/>
      <c r="N48" s="1013"/>
      <c r="O48" s="1013"/>
      <c r="P48" s="1025"/>
      <c r="Q48" s="1013"/>
      <c r="R48" s="1013"/>
      <c r="S48" s="1013"/>
    </row>
    <row r="49" spans="1:19" ht="12.75" hidden="1">
      <c r="A49" s="1048">
        <f t="shared" si="1"/>
        <v>2.329999999999993</v>
      </c>
      <c r="B49" s="1013"/>
      <c r="C49" s="1025">
        <f t="shared" si="2"/>
        <v>0</v>
      </c>
      <c r="D49" s="1025">
        <f t="shared" si="3"/>
        <v>0</v>
      </c>
      <c r="E49" s="1025"/>
      <c r="F49" s="1025"/>
      <c r="G49" s="1025">
        <f t="shared" si="0"/>
        <v>0</v>
      </c>
      <c r="H49" s="1025"/>
      <c r="I49" s="1025">
        <f aca="true" t="shared" si="5" ref="I49:K80">(M49+Q49)/2</f>
        <v>0</v>
      </c>
      <c r="J49" s="1025">
        <f t="shared" si="5"/>
        <v>0</v>
      </c>
      <c r="K49" s="1025">
        <f t="shared" si="5"/>
        <v>0</v>
      </c>
      <c r="L49" s="1025"/>
      <c r="M49" s="1013"/>
      <c r="N49" s="1013"/>
      <c r="O49" s="1013"/>
      <c r="P49" s="1025"/>
      <c r="Q49" s="1013"/>
      <c r="R49" s="1013"/>
      <c r="S49" s="1013"/>
    </row>
    <row r="50" spans="1:19" ht="12.75" hidden="1">
      <c r="A50" s="1048">
        <f t="shared" si="1"/>
        <v>2.3399999999999928</v>
      </c>
      <c r="B50" s="1013"/>
      <c r="C50" s="1025">
        <f t="shared" si="2"/>
        <v>0</v>
      </c>
      <c r="D50" s="1025">
        <f t="shared" si="3"/>
        <v>0</v>
      </c>
      <c r="E50" s="1025"/>
      <c r="F50" s="1025"/>
      <c r="G50" s="1025">
        <f t="shared" si="0"/>
        <v>0</v>
      </c>
      <c r="H50" s="1025"/>
      <c r="I50" s="1025">
        <f t="shared" si="5"/>
        <v>0</v>
      </c>
      <c r="J50" s="1025">
        <f t="shared" si="5"/>
        <v>0</v>
      </c>
      <c r="K50" s="1025">
        <f t="shared" si="5"/>
        <v>0</v>
      </c>
      <c r="L50" s="1025"/>
      <c r="M50" s="1013"/>
      <c r="N50" s="1013"/>
      <c r="O50" s="1013"/>
      <c r="P50" s="1025"/>
      <c r="Q50" s="1013"/>
      <c r="R50" s="1013"/>
      <c r="S50" s="1013"/>
    </row>
    <row r="51" spans="1:19" ht="12.75" hidden="1">
      <c r="A51" s="1048">
        <f t="shared" si="1"/>
        <v>2.3499999999999925</v>
      </c>
      <c r="B51" s="1013"/>
      <c r="C51" s="1025">
        <f t="shared" si="2"/>
        <v>0</v>
      </c>
      <c r="D51" s="1025">
        <f t="shared" si="3"/>
        <v>0</v>
      </c>
      <c r="E51" s="1025"/>
      <c r="F51" s="1025"/>
      <c r="G51" s="1025">
        <f t="shared" si="0"/>
        <v>0</v>
      </c>
      <c r="H51" s="1025"/>
      <c r="I51" s="1025">
        <f t="shared" si="5"/>
        <v>0</v>
      </c>
      <c r="J51" s="1025">
        <f t="shared" si="5"/>
        <v>0</v>
      </c>
      <c r="K51" s="1025">
        <f t="shared" si="5"/>
        <v>0</v>
      </c>
      <c r="L51" s="1025"/>
      <c r="M51" s="1013"/>
      <c r="N51" s="1013"/>
      <c r="O51" s="1013"/>
      <c r="P51" s="1025"/>
      <c r="Q51" s="1013"/>
      <c r="R51" s="1013"/>
      <c r="S51" s="1013"/>
    </row>
    <row r="52" spans="1:19" ht="12.75" hidden="1">
      <c r="A52" s="1048">
        <f t="shared" si="1"/>
        <v>2.3599999999999923</v>
      </c>
      <c r="B52" s="1013"/>
      <c r="C52" s="1025">
        <f t="shared" si="2"/>
        <v>0</v>
      </c>
      <c r="D52" s="1025">
        <f t="shared" si="3"/>
        <v>0</v>
      </c>
      <c r="E52" s="1025"/>
      <c r="F52" s="1025"/>
      <c r="G52" s="1025">
        <f t="shared" si="0"/>
        <v>0</v>
      </c>
      <c r="H52" s="1025"/>
      <c r="I52" s="1025">
        <f t="shared" si="5"/>
        <v>0</v>
      </c>
      <c r="J52" s="1025">
        <f t="shared" si="5"/>
        <v>0</v>
      </c>
      <c r="K52" s="1025">
        <f t="shared" si="5"/>
        <v>0</v>
      </c>
      <c r="L52" s="1025"/>
      <c r="M52" s="1013"/>
      <c r="N52" s="1013"/>
      <c r="O52" s="1013"/>
      <c r="P52" s="1025"/>
      <c r="Q52" s="1013"/>
      <c r="R52" s="1013"/>
      <c r="S52" s="1013"/>
    </row>
    <row r="53" spans="1:19" ht="12.75" hidden="1">
      <c r="A53" s="1048">
        <f t="shared" si="1"/>
        <v>2.369999999999992</v>
      </c>
      <c r="B53" s="1013"/>
      <c r="C53" s="1025">
        <f t="shared" si="2"/>
        <v>0</v>
      </c>
      <c r="D53" s="1025">
        <f t="shared" si="3"/>
        <v>0</v>
      </c>
      <c r="E53" s="1025"/>
      <c r="F53" s="1025"/>
      <c r="G53" s="1025">
        <f t="shared" si="0"/>
        <v>0</v>
      </c>
      <c r="H53" s="1025"/>
      <c r="I53" s="1025">
        <f t="shared" si="5"/>
        <v>0</v>
      </c>
      <c r="J53" s="1025">
        <f t="shared" si="5"/>
        <v>0</v>
      </c>
      <c r="K53" s="1025">
        <f t="shared" si="5"/>
        <v>0</v>
      </c>
      <c r="L53" s="1025"/>
      <c r="M53" s="1013"/>
      <c r="N53" s="1013"/>
      <c r="O53" s="1013"/>
      <c r="P53" s="1025"/>
      <c r="Q53" s="1013"/>
      <c r="R53" s="1013"/>
      <c r="S53" s="1013"/>
    </row>
    <row r="54" spans="1:19" ht="12.75" hidden="1">
      <c r="A54" s="1048">
        <f t="shared" si="1"/>
        <v>2.379999999999992</v>
      </c>
      <c r="B54" s="1013"/>
      <c r="C54" s="1025">
        <f t="shared" si="2"/>
        <v>0</v>
      </c>
      <c r="D54" s="1025">
        <f t="shared" si="3"/>
        <v>0</v>
      </c>
      <c r="E54" s="1025"/>
      <c r="F54" s="1025"/>
      <c r="G54" s="1025">
        <f t="shared" si="0"/>
        <v>0</v>
      </c>
      <c r="H54" s="1025"/>
      <c r="I54" s="1025">
        <f t="shared" si="5"/>
        <v>0</v>
      </c>
      <c r="J54" s="1025">
        <f t="shared" si="5"/>
        <v>0</v>
      </c>
      <c r="K54" s="1025">
        <f t="shared" si="5"/>
        <v>0</v>
      </c>
      <c r="L54" s="1025"/>
      <c r="M54" s="1013"/>
      <c r="N54" s="1013"/>
      <c r="O54" s="1013"/>
      <c r="P54" s="1025"/>
      <c r="Q54" s="1013"/>
      <c r="R54" s="1013"/>
      <c r="S54" s="1013"/>
    </row>
    <row r="55" spans="1:19" ht="12.75" hidden="1">
      <c r="A55" s="1048">
        <f t="shared" si="1"/>
        <v>2.3899999999999917</v>
      </c>
      <c r="B55" s="1013"/>
      <c r="C55" s="1025">
        <f t="shared" si="2"/>
        <v>0</v>
      </c>
      <c r="D55" s="1025">
        <f t="shared" si="3"/>
        <v>0</v>
      </c>
      <c r="E55" s="1025"/>
      <c r="F55" s="1025"/>
      <c r="G55" s="1025">
        <f t="shared" si="0"/>
        <v>0</v>
      </c>
      <c r="H55" s="1025"/>
      <c r="I55" s="1025">
        <f t="shared" si="5"/>
        <v>0</v>
      </c>
      <c r="J55" s="1025">
        <f t="shared" si="5"/>
        <v>0</v>
      </c>
      <c r="K55" s="1025">
        <f t="shared" si="5"/>
        <v>0</v>
      </c>
      <c r="L55" s="1025"/>
      <c r="M55" s="1013"/>
      <c r="N55" s="1013"/>
      <c r="O55" s="1013"/>
      <c r="P55" s="1025"/>
      <c r="Q55" s="1013"/>
      <c r="R55" s="1013"/>
      <c r="S55" s="1013"/>
    </row>
    <row r="56" spans="1:19" ht="12.75" hidden="1">
      <c r="A56" s="1048">
        <f t="shared" si="1"/>
        <v>2.3999999999999915</v>
      </c>
      <c r="B56" s="1013"/>
      <c r="C56" s="1025">
        <f t="shared" si="2"/>
        <v>0</v>
      </c>
      <c r="D56" s="1025">
        <f t="shared" si="3"/>
        <v>0</v>
      </c>
      <c r="E56" s="1025"/>
      <c r="F56" s="1025"/>
      <c r="G56" s="1025">
        <f t="shared" si="0"/>
        <v>0</v>
      </c>
      <c r="H56" s="1025"/>
      <c r="I56" s="1025">
        <f t="shared" si="5"/>
        <v>0</v>
      </c>
      <c r="J56" s="1025">
        <f t="shared" si="5"/>
        <v>0</v>
      </c>
      <c r="K56" s="1025">
        <f t="shared" si="5"/>
        <v>0</v>
      </c>
      <c r="L56" s="1025"/>
      <c r="M56" s="1013"/>
      <c r="N56" s="1013"/>
      <c r="O56" s="1013"/>
      <c r="P56" s="1025"/>
      <c r="Q56" s="1013"/>
      <c r="R56" s="1013"/>
      <c r="S56" s="1013"/>
    </row>
    <row r="57" spans="1:19" ht="12.75" hidden="1">
      <c r="A57" s="1048">
        <f t="shared" si="1"/>
        <v>2.4099999999999913</v>
      </c>
      <c r="B57" s="1013"/>
      <c r="C57" s="1025">
        <f t="shared" si="2"/>
        <v>0</v>
      </c>
      <c r="D57" s="1025">
        <f t="shared" si="3"/>
        <v>0</v>
      </c>
      <c r="E57" s="1025"/>
      <c r="F57" s="1025"/>
      <c r="G57" s="1025">
        <f t="shared" si="0"/>
        <v>0</v>
      </c>
      <c r="H57" s="1025"/>
      <c r="I57" s="1025">
        <f t="shared" si="5"/>
        <v>0</v>
      </c>
      <c r="J57" s="1025">
        <f t="shared" si="5"/>
        <v>0</v>
      </c>
      <c r="K57" s="1025">
        <f t="shared" si="5"/>
        <v>0</v>
      </c>
      <c r="L57" s="1025"/>
      <c r="M57" s="1013"/>
      <c r="N57" s="1013"/>
      <c r="O57" s="1013"/>
      <c r="P57" s="1025"/>
      <c r="Q57" s="1013"/>
      <c r="R57" s="1013"/>
      <c r="S57" s="1013"/>
    </row>
    <row r="58" spans="1:19" ht="12.75" hidden="1">
      <c r="A58" s="1048">
        <f t="shared" si="1"/>
        <v>2.419999999999991</v>
      </c>
      <c r="B58" s="1013"/>
      <c r="C58" s="1025">
        <f t="shared" si="2"/>
        <v>0</v>
      </c>
      <c r="D58" s="1025">
        <f t="shared" si="3"/>
        <v>0</v>
      </c>
      <c r="E58" s="1025"/>
      <c r="F58" s="1025"/>
      <c r="G58" s="1025">
        <f t="shared" si="0"/>
        <v>0</v>
      </c>
      <c r="H58" s="1025"/>
      <c r="I58" s="1025">
        <f t="shared" si="5"/>
        <v>0</v>
      </c>
      <c r="J58" s="1025">
        <f t="shared" si="5"/>
        <v>0</v>
      </c>
      <c r="K58" s="1025">
        <f t="shared" si="5"/>
        <v>0</v>
      </c>
      <c r="L58" s="1025"/>
      <c r="M58" s="1013"/>
      <c r="N58" s="1013"/>
      <c r="O58" s="1013"/>
      <c r="P58" s="1025"/>
      <c r="Q58" s="1013"/>
      <c r="R58" s="1013"/>
      <c r="S58" s="1013"/>
    </row>
    <row r="59" spans="1:19" ht="12.75" hidden="1">
      <c r="A59" s="1048">
        <f t="shared" si="1"/>
        <v>2.429999999999991</v>
      </c>
      <c r="B59" s="1013"/>
      <c r="C59" s="1025">
        <f t="shared" si="2"/>
        <v>0</v>
      </c>
      <c r="D59" s="1025">
        <f t="shared" si="3"/>
        <v>0</v>
      </c>
      <c r="E59" s="1025"/>
      <c r="F59" s="1025"/>
      <c r="G59" s="1025">
        <f t="shared" si="0"/>
        <v>0</v>
      </c>
      <c r="H59" s="1025"/>
      <c r="I59" s="1025">
        <f t="shared" si="5"/>
        <v>0</v>
      </c>
      <c r="J59" s="1025">
        <f t="shared" si="5"/>
        <v>0</v>
      </c>
      <c r="K59" s="1025">
        <f t="shared" si="5"/>
        <v>0</v>
      </c>
      <c r="L59" s="1025"/>
      <c r="M59" s="1013"/>
      <c r="N59" s="1013"/>
      <c r="O59" s="1013"/>
      <c r="P59" s="1025"/>
      <c r="Q59" s="1013"/>
      <c r="R59" s="1013"/>
      <c r="S59" s="1013"/>
    </row>
    <row r="60" spans="1:19" ht="12.75" hidden="1">
      <c r="A60" s="1048">
        <f t="shared" si="1"/>
        <v>2.4399999999999906</v>
      </c>
      <c r="B60" s="1013"/>
      <c r="C60" s="1025">
        <f t="shared" si="2"/>
        <v>0</v>
      </c>
      <c r="D60" s="1025">
        <f t="shared" si="3"/>
        <v>0</v>
      </c>
      <c r="E60" s="1025"/>
      <c r="F60" s="1025"/>
      <c r="G60" s="1025">
        <f t="shared" si="0"/>
        <v>0</v>
      </c>
      <c r="H60" s="1025"/>
      <c r="I60" s="1025">
        <f t="shared" si="5"/>
        <v>0</v>
      </c>
      <c r="J60" s="1025">
        <f t="shared" si="5"/>
        <v>0</v>
      </c>
      <c r="K60" s="1025">
        <f t="shared" si="5"/>
        <v>0</v>
      </c>
      <c r="L60" s="1025"/>
      <c r="M60" s="1013"/>
      <c r="N60" s="1013"/>
      <c r="O60" s="1013"/>
      <c r="P60" s="1025"/>
      <c r="Q60" s="1013"/>
      <c r="R60" s="1013"/>
      <c r="S60" s="1013"/>
    </row>
    <row r="61" spans="1:19" ht="12.75" hidden="1">
      <c r="A61" s="1048">
        <f t="shared" si="1"/>
        <v>2.4499999999999904</v>
      </c>
      <c r="B61" s="1013"/>
      <c r="C61" s="1025">
        <f t="shared" si="2"/>
        <v>0</v>
      </c>
      <c r="D61" s="1025">
        <f t="shared" si="3"/>
        <v>0</v>
      </c>
      <c r="E61" s="1025"/>
      <c r="F61" s="1025"/>
      <c r="G61" s="1025">
        <f t="shared" si="0"/>
        <v>0</v>
      </c>
      <c r="H61" s="1025"/>
      <c r="I61" s="1025">
        <f t="shared" si="5"/>
        <v>0</v>
      </c>
      <c r="J61" s="1025">
        <f t="shared" si="5"/>
        <v>0</v>
      </c>
      <c r="K61" s="1025">
        <f t="shared" si="5"/>
        <v>0</v>
      </c>
      <c r="L61" s="1025"/>
      <c r="M61" s="1013"/>
      <c r="N61" s="1013"/>
      <c r="O61" s="1013"/>
      <c r="P61" s="1025"/>
      <c r="Q61" s="1013"/>
      <c r="R61" s="1013"/>
      <c r="S61" s="1013"/>
    </row>
    <row r="62" spans="1:19" ht="12.75" hidden="1">
      <c r="A62" s="1048">
        <f t="shared" si="1"/>
        <v>2.45999999999999</v>
      </c>
      <c r="B62" s="1013"/>
      <c r="C62" s="1025">
        <f t="shared" si="2"/>
        <v>0</v>
      </c>
      <c r="D62" s="1025">
        <f t="shared" si="3"/>
        <v>0</v>
      </c>
      <c r="E62" s="1025"/>
      <c r="F62" s="1025"/>
      <c r="G62" s="1025">
        <f t="shared" si="0"/>
        <v>0</v>
      </c>
      <c r="H62" s="1025"/>
      <c r="I62" s="1025">
        <f t="shared" si="5"/>
        <v>0</v>
      </c>
      <c r="J62" s="1025">
        <f t="shared" si="5"/>
        <v>0</v>
      </c>
      <c r="K62" s="1025">
        <f t="shared" si="5"/>
        <v>0</v>
      </c>
      <c r="L62" s="1025"/>
      <c r="M62" s="1013"/>
      <c r="N62" s="1013"/>
      <c r="O62" s="1013"/>
      <c r="P62" s="1025"/>
      <c r="Q62" s="1013"/>
      <c r="R62" s="1013"/>
      <c r="S62" s="1013"/>
    </row>
    <row r="63" spans="1:19" ht="12.75" hidden="1">
      <c r="A63" s="1048">
        <f t="shared" si="1"/>
        <v>2.46999999999999</v>
      </c>
      <c r="B63" s="1013"/>
      <c r="C63" s="1025">
        <f t="shared" si="2"/>
        <v>0</v>
      </c>
      <c r="D63" s="1025">
        <f t="shared" si="3"/>
        <v>0</v>
      </c>
      <c r="E63" s="1025"/>
      <c r="F63" s="1025"/>
      <c r="G63" s="1025">
        <f t="shared" si="0"/>
        <v>0</v>
      </c>
      <c r="H63" s="1025"/>
      <c r="I63" s="1025">
        <f t="shared" si="5"/>
        <v>0</v>
      </c>
      <c r="J63" s="1025">
        <f t="shared" si="5"/>
        <v>0</v>
      </c>
      <c r="K63" s="1025">
        <f t="shared" si="5"/>
        <v>0</v>
      </c>
      <c r="L63" s="1025"/>
      <c r="M63" s="1013"/>
      <c r="N63" s="1013"/>
      <c r="O63" s="1013"/>
      <c r="P63" s="1025"/>
      <c r="Q63" s="1013"/>
      <c r="R63" s="1013"/>
      <c r="S63" s="1013"/>
    </row>
    <row r="64" spans="1:19" ht="12.75" hidden="1">
      <c r="A64" s="1048">
        <f t="shared" si="1"/>
        <v>2.4799999999999898</v>
      </c>
      <c r="B64" s="1013"/>
      <c r="C64" s="1025">
        <f t="shared" si="2"/>
        <v>0</v>
      </c>
      <c r="D64" s="1025">
        <f t="shared" si="3"/>
        <v>0</v>
      </c>
      <c r="E64" s="1025"/>
      <c r="F64" s="1025"/>
      <c r="G64" s="1025">
        <f t="shared" si="0"/>
        <v>0</v>
      </c>
      <c r="H64" s="1025"/>
      <c r="I64" s="1025">
        <f t="shared" si="5"/>
        <v>0</v>
      </c>
      <c r="J64" s="1025">
        <f t="shared" si="5"/>
        <v>0</v>
      </c>
      <c r="K64" s="1025">
        <f t="shared" si="5"/>
        <v>0</v>
      </c>
      <c r="L64" s="1025"/>
      <c r="M64" s="1013"/>
      <c r="N64" s="1013"/>
      <c r="O64" s="1013"/>
      <c r="P64" s="1025"/>
      <c r="Q64" s="1013"/>
      <c r="R64" s="1013"/>
      <c r="S64" s="1013"/>
    </row>
    <row r="65" spans="1:19" ht="12.75" hidden="1">
      <c r="A65" s="1048">
        <f t="shared" si="1"/>
        <v>2.4899999999999896</v>
      </c>
      <c r="B65" s="1013"/>
      <c r="C65" s="1025">
        <f t="shared" si="2"/>
        <v>0</v>
      </c>
      <c r="D65" s="1025">
        <f t="shared" si="3"/>
        <v>0</v>
      </c>
      <c r="E65" s="1025"/>
      <c r="F65" s="1025"/>
      <c r="G65" s="1025">
        <f t="shared" si="0"/>
        <v>0</v>
      </c>
      <c r="H65" s="1025"/>
      <c r="I65" s="1025">
        <f t="shared" si="5"/>
        <v>0</v>
      </c>
      <c r="J65" s="1025">
        <f t="shared" si="5"/>
        <v>0</v>
      </c>
      <c r="K65" s="1025">
        <f t="shared" si="5"/>
        <v>0</v>
      </c>
      <c r="L65" s="1025"/>
      <c r="M65" s="1013"/>
      <c r="N65" s="1013"/>
      <c r="O65" s="1013"/>
      <c r="P65" s="1025"/>
      <c r="Q65" s="1013"/>
      <c r="R65" s="1013"/>
      <c r="S65" s="1013"/>
    </row>
    <row r="66" spans="1:19" ht="12.75" hidden="1">
      <c r="A66" s="1048">
        <f t="shared" si="1"/>
        <v>2.4999999999999893</v>
      </c>
      <c r="B66" s="1013"/>
      <c r="C66" s="1025">
        <f t="shared" si="2"/>
        <v>0</v>
      </c>
      <c r="D66" s="1025">
        <f t="shared" si="3"/>
        <v>0</v>
      </c>
      <c r="E66" s="1025"/>
      <c r="F66" s="1025"/>
      <c r="G66" s="1025">
        <f t="shared" si="0"/>
        <v>0</v>
      </c>
      <c r="H66" s="1025"/>
      <c r="I66" s="1025">
        <f t="shared" si="5"/>
        <v>0</v>
      </c>
      <c r="J66" s="1025">
        <f t="shared" si="5"/>
        <v>0</v>
      </c>
      <c r="K66" s="1025">
        <f t="shared" si="5"/>
        <v>0</v>
      </c>
      <c r="L66" s="1025"/>
      <c r="M66" s="1013"/>
      <c r="N66" s="1013"/>
      <c r="O66" s="1013"/>
      <c r="P66" s="1025"/>
      <c r="Q66" s="1013"/>
      <c r="R66" s="1013"/>
      <c r="S66" s="1013"/>
    </row>
    <row r="67" spans="1:19" ht="12.75" hidden="1">
      <c r="A67" s="1048">
        <f t="shared" si="1"/>
        <v>2.509999999999989</v>
      </c>
      <c r="B67" s="1013"/>
      <c r="C67" s="1025">
        <f t="shared" si="2"/>
        <v>0</v>
      </c>
      <c r="D67" s="1025">
        <f t="shared" si="3"/>
        <v>0</v>
      </c>
      <c r="E67" s="1025"/>
      <c r="F67" s="1025"/>
      <c r="G67" s="1025">
        <f t="shared" si="0"/>
        <v>0</v>
      </c>
      <c r="H67" s="1025"/>
      <c r="I67" s="1025">
        <f t="shared" si="5"/>
        <v>0</v>
      </c>
      <c r="J67" s="1025">
        <f t="shared" si="5"/>
        <v>0</v>
      </c>
      <c r="K67" s="1025">
        <f t="shared" si="5"/>
        <v>0</v>
      </c>
      <c r="L67" s="1025"/>
      <c r="M67" s="1013"/>
      <c r="N67" s="1013"/>
      <c r="O67" s="1013"/>
      <c r="P67" s="1025"/>
      <c r="Q67" s="1013"/>
      <c r="R67" s="1013"/>
      <c r="S67" s="1013"/>
    </row>
    <row r="68" spans="1:19" ht="12.75" hidden="1">
      <c r="A68" s="1048">
        <f t="shared" si="1"/>
        <v>2.519999999999989</v>
      </c>
      <c r="B68" s="1013"/>
      <c r="C68" s="1025">
        <f t="shared" si="2"/>
        <v>0</v>
      </c>
      <c r="D68" s="1025">
        <f t="shared" si="3"/>
        <v>0</v>
      </c>
      <c r="E68" s="1025"/>
      <c r="F68" s="1025"/>
      <c r="G68" s="1025">
        <f t="shared" si="0"/>
        <v>0</v>
      </c>
      <c r="H68" s="1025"/>
      <c r="I68" s="1025">
        <f t="shared" si="5"/>
        <v>0</v>
      </c>
      <c r="J68" s="1025">
        <f t="shared" si="5"/>
        <v>0</v>
      </c>
      <c r="K68" s="1025">
        <f t="shared" si="5"/>
        <v>0</v>
      </c>
      <c r="L68" s="1025"/>
      <c r="M68" s="1013"/>
      <c r="N68" s="1013"/>
      <c r="O68" s="1013"/>
      <c r="P68" s="1025"/>
      <c r="Q68" s="1013"/>
      <c r="R68" s="1013"/>
      <c r="S68" s="1013"/>
    </row>
    <row r="69" spans="1:19" ht="12.75" hidden="1">
      <c r="A69" s="1048">
        <f t="shared" si="1"/>
        <v>2.5299999999999887</v>
      </c>
      <c r="B69" s="1013"/>
      <c r="C69" s="1025">
        <f t="shared" si="2"/>
        <v>0</v>
      </c>
      <c r="D69" s="1025">
        <f t="shared" si="3"/>
        <v>0</v>
      </c>
      <c r="E69" s="1025"/>
      <c r="F69" s="1025"/>
      <c r="G69" s="1025">
        <f t="shared" si="0"/>
        <v>0</v>
      </c>
      <c r="H69" s="1025"/>
      <c r="I69" s="1025">
        <f t="shared" si="5"/>
        <v>0</v>
      </c>
      <c r="J69" s="1025">
        <f t="shared" si="5"/>
        <v>0</v>
      </c>
      <c r="K69" s="1025">
        <f t="shared" si="5"/>
        <v>0</v>
      </c>
      <c r="L69" s="1025"/>
      <c r="M69" s="1013"/>
      <c r="N69" s="1013"/>
      <c r="O69" s="1013"/>
      <c r="P69" s="1025"/>
      <c r="Q69" s="1013"/>
      <c r="R69" s="1013"/>
      <c r="S69" s="1013"/>
    </row>
    <row r="70" spans="1:19" ht="12.75" hidden="1">
      <c r="A70" s="1048">
        <f t="shared" si="1"/>
        <v>2.5399999999999885</v>
      </c>
      <c r="B70" s="1013"/>
      <c r="C70" s="1025">
        <f t="shared" si="2"/>
        <v>0</v>
      </c>
      <c r="D70" s="1025">
        <f t="shared" si="3"/>
        <v>0</v>
      </c>
      <c r="E70" s="1025"/>
      <c r="F70" s="1025"/>
      <c r="G70" s="1025">
        <f t="shared" si="0"/>
        <v>0</v>
      </c>
      <c r="H70" s="1025"/>
      <c r="I70" s="1025">
        <f t="shared" si="5"/>
        <v>0</v>
      </c>
      <c r="J70" s="1025">
        <f t="shared" si="5"/>
        <v>0</v>
      </c>
      <c r="K70" s="1025">
        <f t="shared" si="5"/>
        <v>0</v>
      </c>
      <c r="L70" s="1025"/>
      <c r="M70" s="1013"/>
      <c r="N70" s="1013"/>
      <c r="O70" s="1013"/>
      <c r="P70" s="1025"/>
      <c r="Q70" s="1013"/>
      <c r="R70" s="1013"/>
      <c r="S70" s="1013"/>
    </row>
    <row r="71" spans="1:19" ht="12.75" hidden="1">
      <c r="A71" s="1048">
        <f t="shared" si="1"/>
        <v>2.5499999999999883</v>
      </c>
      <c r="B71" s="1013"/>
      <c r="C71" s="1025">
        <f t="shared" si="2"/>
        <v>0</v>
      </c>
      <c r="D71" s="1025">
        <f t="shared" si="3"/>
        <v>0</v>
      </c>
      <c r="E71" s="1025"/>
      <c r="F71" s="1025"/>
      <c r="G71" s="1025">
        <f t="shared" si="0"/>
        <v>0</v>
      </c>
      <c r="H71" s="1025"/>
      <c r="I71" s="1025">
        <f t="shared" si="5"/>
        <v>0</v>
      </c>
      <c r="J71" s="1025">
        <f t="shared" si="5"/>
        <v>0</v>
      </c>
      <c r="K71" s="1025">
        <f t="shared" si="5"/>
        <v>0</v>
      </c>
      <c r="L71" s="1025"/>
      <c r="M71" s="1013"/>
      <c r="N71" s="1013"/>
      <c r="O71" s="1013"/>
      <c r="P71" s="1025"/>
      <c r="Q71" s="1013"/>
      <c r="R71" s="1013"/>
      <c r="S71" s="1013"/>
    </row>
    <row r="72" spans="1:19" ht="12.75" hidden="1">
      <c r="A72" s="1048">
        <f t="shared" si="1"/>
        <v>2.559999999999988</v>
      </c>
      <c r="B72" s="1013"/>
      <c r="C72" s="1025">
        <f t="shared" si="2"/>
        <v>0</v>
      </c>
      <c r="D72" s="1025">
        <f t="shared" si="3"/>
        <v>0</v>
      </c>
      <c r="E72" s="1025"/>
      <c r="F72" s="1025"/>
      <c r="G72" s="1025">
        <f t="shared" si="0"/>
        <v>0</v>
      </c>
      <c r="H72" s="1025"/>
      <c r="I72" s="1025">
        <f t="shared" si="5"/>
        <v>0</v>
      </c>
      <c r="J72" s="1025">
        <f t="shared" si="5"/>
        <v>0</v>
      </c>
      <c r="K72" s="1025">
        <f t="shared" si="5"/>
        <v>0</v>
      </c>
      <c r="L72" s="1025"/>
      <c r="M72" s="1013"/>
      <c r="N72" s="1013"/>
      <c r="O72" s="1013"/>
      <c r="P72" s="1025"/>
      <c r="Q72" s="1013"/>
      <c r="R72" s="1013"/>
      <c r="S72" s="1013"/>
    </row>
    <row r="73" spans="1:19" ht="12.75" hidden="1">
      <c r="A73" s="1048">
        <f t="shared" si="1"/>
        <v>2.569999999999988</v>
      </c>
      <c r="B73" s="1013"/>
      <c r="C73" s="1025">
        <f t="shared" si="2"/>
        <v>0</v>
      </c>
      <c r="D73" s="1025">
        <f t="shared" si="3"/>
        <v>0</v>
      </c>
      <c r="E73" s="1025"/>
      <c r="F73" s="1025"/>
      <c r="G73" s="1025">
        <f t="shared" si="0"/>
        <v>0</v>
      </c>
      <c r="H73" s="1025"/>
      <c r="I73" s="1025">
        <f t="shared" si="5"/>
        <v>0</v>
      </c>
      <c r="J73" s="1025">
        <f t="shared" si="5"/>
        <v>0</v>
      </c>
      <c r="K73" s="1025">
        <f t="shared" si="5"/>
        <v>0</v>
      </c>
      <c r="L73" s="1025"/>
      <c r="M73" s="1013"/>
      <c r="N73" s="1013"/>
      <c r="O73" s="1013"/>
      <c r="P73" s="1025"/>
      <c r="Q73" s="1013"/>
      <c r="R73" s="1013"/>
      <c r="S73" s="1013"/>
    </row>
    <row r="74" spans="1:19" ht="12.75" hidden="1">
      <c r="A74" s="1048">
        <f t="shared" si="1"/>
        <v>2.5799999999999876</v>
      </c>
      <c r="B74" s="1013"/>
      <c r="C74" s="1025">
        <f t="shared" si="2"/>
        <v>0</v>
      </c>
      <c r="D74" s="1025">
        <f t="shared" si="3"/>
        <v>0</v>
      </c>
      <c r="E74" s="1025"/>
      <c r="F74" s="1025"/>
      <c r="G74" s="1025">
        <f t="shared" si="0"/>
        <v>0</v>
      </c>
      <c r="H74" s="1025"/>
      <c r="I74" s="1025">
        <f t="shared" si="5"/>
        <v>0</v>
      </c>
      <c r="J74" s="1025">
        <f t="shared" si="5"/>
        <v>0</v>
      </c>
      <c r="K74" s="1025">
        <f t="shared" si="5"/>
        <v>0</v>
      </c>
      <c r="L74" s="1025"/>
      <c r="M74" s="1013"/>
      <c r="N74" s="1013"/>
      <c r="O74" s="1013"/>
      <c r="P74" s="1025"/>
      <c r="Q74" s="1013"/>
      <c r="R74" s="1013"/>
      <c r="S74" s="1013"/>
    </row>
    <row r="75" spans="1:19" ht="12.75" hidden="1">
      <c r="A75" s="1048">
        <f t="shared" si="1"/>
        <v>2.5899999999999874</v>
      </c>
      <c r="B75" s="1013"/>
      <c r="C75" s="1025">
        <f t="shared" si="2"/>
        <v>0</v>
      </c>
      <c r="D75" s="1025">
        <f t="shared" si="3"/>
        <v>0</v>
      </c>
      <c r="E75" s="1025"/>
      <c r="F75" s="1025"/>
      <c r="G75" s="1025">
        <f t="shared" si="0"/>
        <v>0</v>
      </c>
      <c r="H75" s="1025"/>
      <c r="I75" s="1025">
        <f t="shared" si="5"/>
        <v>0</v>
      </c>
      <c r="J75" s="1025">
        <f t="shared" si="5"/>
        <v>0</v>
      </c>
      <c r="K75" s="1025">
        <f t="shared" si="5"/>
        <v>0</v>
      </c>
      <c r="L75" s="1025"/>
      <c r="M75" s="1013"/>
      <c r="N75" s="1013"/>
      <c r="O75" s="1013"/>
      <c r="P75" s="1025"/>
      <c r="Q75" s="1013"/>
      <c r="R75" s="1013"/>
      <c r="S75" s="1013"/>
    </row>
    <row r="76" spans="1:19" ht="12.75" hidden="1">
      <c r="A76" s="1048">
        <f t="shared" si="1"/>
        <v>2.599999999999987</v>
      </c>
      <c r="B76" s="1013"/>
      <c r="C76" s="1025">
        <f t="shared" si="2"/>
        <v>0</v>
      </c>
      <c r="D76" s="1025">
        <f t="shared" si="3"/>
        <v>0</v>
      </c>
      <c r="E76" s="1025"/>
      <c r="F76" s="1025"/>
      <c r="G76" s="1025">
        <f t="shared" si="0"/>
        <v>0</v>
      </c>
      <c r="H76" s="1025"/>
      <c r="I76" s="1025">
        <f t="shared" si="5"/>
        <v>0</v>
      </c>
      <c r="J76" s="1025">
        <f t="shared" si="5"/>
        <v>0</v>
      </c>
      <c r="K76" s="1025">
        <f t="shared" si="5"/>
        <v>0</v>
      </c>
      <c r="L76" s="1025"/>
      <c r="M76" s="1013"/>
      <c r="N76" s="1013"/>
      <c r="O76" s="1013"/>
      <c r="P76" s="1025"/>
      <c r="Q76" s="1013"/>
      <c r="R76" s="1013"/>
      <c r="S76" s="1013"/>
    </row>
    <row r="77" spans="1:19" ht="12.75" hidden="1">
      <c r="A77" s="1048">
        <f t="shared" si="1"/>
        <v>2.609999999999987</v>
      </c>
      <c r="B77" s="1013"/>
      <c r="C77" s="1029">
        <f t="shared" si="2"/>
        <v>0</v>
      </c>
      <c r="D77" s="1029">
        <f t="shared" si="3"/>
        <v>0</v>
      </c>
      <c r="E77" s="1029"/>
      <c r="F77" s="1029"/>
      <c r="G77" s="1029">
        <f t="shared" si="0"/>
        <v>0</v>
      </c>
      <c r="H77" s="1029"/>
      <c r="I77" s="1029">
        <f t="shared" si="5"/>
        <v>0</v>
      </c>
      <c r="J77" s="1029">
        <f t="shared" si="5"/>
        <v>0</v>
      </c>
      <c r="K77" s="1029">
        <f t="shared" si="5"/>
        <v>0</v>
      </c>
      <c r="L77" s="1029"/>
      <c r="M77" s="1013"/>
      <c r="N77" s="1013"/>
      <c r="O77" s="1013"/>
      <c r="P77" s="1029"/>
      <c r="Q77" s="1013"/>
      <c r="R77" s="1013"/>
      <c r="S77" s="1013"/>
    </row>
    <row r="78" spans="1:19" ht="12.75" hidden="1">
      <c r="A78" s="1048">
        <f t="shared" si="1"/>
        <v>2.619999999999987</v>
      </c>
      <c r="B78" s="1013"/>
      <c r="C78" s="1029">
        <f t="shared" si="2"/>
        <v>0</v>
      </c>
      <c r="D78" s="1029">
        <f t="shared" si="3"/>
        <v>0</v>
      </c>
      <c r="E78" s="1029"/>
      <c r="F78" s="1029"/>
      <c r="G78" s="1029">
        <f t="shared" si="0"/>
        <v>0</v>
      </c>
      <c r="H78" s="1029"/>
      <c r="I78" s="1029">
        <f t="shared" si="5"/>
        <v>0</v>
      </c>
      <c r="J78" s="1029">
        <f t="shared" si="5"/>
        <v>0</v>
      </c>
      <c r="K78" s="1029">
        <f t="shared" si="5"/>
        <v>0</v>
      </c>
      <c r="L78" s="1029"/>
      <c r="M78" s="1013"/>
      <c r="N78" s="1013"/>
      <c r="O78" s="1013"/>
      <c r="P78" s="1029"/>
      <c r="Q78" s="1013"/>
      <c r="R78" s="1013"/>
      <c r="S78" s="1013"/>
    </row>
    <row r="79" spans="1:19" ht="12.75" hidden="1">
      <c r="A79" s="1048">
        <f t="shared" si="1"/>
        <v>2.6299999999999866</v>
      </c>
      <c r="B79" s="1013"/>
      <c r="C79" s="1025">
        <f t="shared" si="2"/>
        <v>0</v>
      </c>
      <c r="D79" s="1025">
        <f t="shared" si="3"/>
        <v>0</v>
      </c>
      <c r="E79" s="1025"/>
      <c r="F79" s="1025"/>
      <c r="G79" s="1025">
        <f t="shared" si="0"/>
        <v>0</v>
      </c>
      <c r="H79" s="1025"/>
      <c r="I79" s="1025">
        <f t="shared" si="5"/>
        <v>0</v>
      </c>
      <c r="J79" s="1025">
        <f t="shared" si="5"/>
        <v>0</v>
      </c>
      <c r="K79" s="1025">
        <f t="shared" si="5"/>
        <v>0</v>
      </c>
      <c r="L79" s="1025"/>
      <c r="M79" s="1013"/>
      <c r="N79" s="1013"/>
      <c r="O79" s="1013"/>
      <c r="P79" s="1025"/>
      <c r="Q79" s="1013"/>
      <c r="R79" s="1013"/>
      <c r="S79" s="1013"/>
    </row>
    <row r="80" spans="1:19" ht="12.75" hidden="1">
      <c r="A80" s="1048">
        <f t="shared" si="1"/>
        <v>2.6399999999999864</v>
      </c>
      <c r="B80" s="1013"/>
      <c r="C80" s="1025">
        <f t="shared" si="2"/>
        <v>0</v>
      </c>
      <c r="D80" s="1025">
        <f t="shared" si="3"/>
        <v>0</v>
      </c>
      <c r="E80" s="1025"/>
      <c r="F80" s="1025"/>
      <c r="G80" s="1025">
        <f t="shared" si="0"/>
        <v>0</v>
      </c>
      <c r="H80" s="1025"/>
      <c r="I80" s="1025">
        <f t="shared" si="5"/>
        <v>0</v>
      </c>
      <c r="J80" s="1025">
        <f t="shared" si="5"/>
        <v>0</v>
      </c>
      <c r="K80" s="1025">
        <f t="shared" si="5"/>
        <v>0</v>
      </c>
      <c r="L80" s="1025"/>
      <c r="M80" s="1013"/>
      <c r="N80" s="1013"/>
      <c r="O80" s="1013"/>
      <c r="P80" s="1025"/>
      <c r="Q80" s="1013"/>
      <c r="R80" s="1013"/>
      <c r="S80" s="1013"/>
    </row>
    <row r="81" spans="1:19" ht="12.75" hidden="1">
      <c r="A81" s="1048">
        <f t="shared" si="1"/>
        <v>2.649999999999986</v>
      </c>
      <c r="B81" s="1013"/>
      <c r="C81" s="1025">
        <f aca="true" t="shared" si="6" ref="C81:C95">SUM(M81:O81)</f>
        <v>0</v>
      </c>
      <c r="D81" s="1025">
        <f aca="true" t="shared" si="7" ref="D81:D95">SUM(Q81:S81)</f>
        <v>0</v>
      </c>
      <c r="E81" s="1025"/>
      <c r="F81" s="1025"/>
      <c r="G81" s="1025">
        <f aca="true" t="shared" si="8" ref="G81:G107">ROUND(SUM(C81:F81)/2,0)</f>
        <v>0</v>
      </c>
      <c r="H81" s="1025"/>
      <c r="I81" s="1025">
        <f aca="true" t="shared" si="9" ref="I81:K95">(M81+Q81)/2</f>
        <v>0</v>
      </c>
      <c r="J81" s="1025">
        <f t="shared" si="9"/>
        <v>0</v>
      </c>
      <c r="K81" s="1025">
        <f t="shared" si="9"/>
        <v>0</v>
      </c>
      <c r="L81" s="1025"/>
      <c r="M81" s="1013"/>
      <c r="N81" s="1013"/>
      <c r="O81" s="1013"/>
      <c r="P81" s="1025"/>
      <c r="Q81" s="1013"/>
      <c r="R81" s="1013"/>
      <c r="S81" s="1013"/>
    </row>
    <row r="82" spans="1:19" ht="12.75" hidden="1">
      <c r="A82" s="1048">
        <f t="shared" si="1"/>
        <v>2.659999999999986</v>
      </c>
      <c r="B82" s="1013"/>
      <c r="C82" s="1025">
        <f t="shared" si="6"/>
        <v>0</v>
      </c>
      <c r="D82" s="1025">
        <f t="shared" si="7"/>
        <v>0</v>
      </c>
      <c r="E82" s="1025"/>
      <c r="F82" s="1025"/>
      <c r="G82" s="1025">
        <f t="shared" si="8"/>
        <v>0</v>
      </c>
      <c r="H82" s="1025"/>
      <c r="I82" s="1025">
        <f t="shared" si="9"/>
        <v>0</v>
      </c>
      <c r="J82" s="1025">
        <f t="shared" si="9"/>
        <v>0</v>
      </c>
      <c r="K82" s="1025">
        <f t="shared" si="9"/>
        <v>0</v>
      </c>
      <c r="L82" s="1025"/>
      <c r="M82" s="1013"/>
      <c r="N82" s="1013"/>
      <c r="O82" s="1013"/>
      <c r="P82" s="1025"/>
      <c r="Q82" s="1013"/>
      <c r="R82" s="1013"/>
      <c r="S82" s="1013"/>
    </row>
    <row r="83" spans="1:19" ht="12.75" hidden="1">
      <c r="A83" s="1048">
        <f aca="true" t="shared" si="10" ref="A83:A107">A82+0.01</f>
        <v>2.6699999999999857</v>
      </c>
      <c r="B83" s="1013"/>
      <c r="C83" s="1025">
        <f t="shared" si="6"/>
        <v>0</v>
      </c>
      <c r="D83" s="1025">
        <f t="shared" si="7"/>
        <v>0</v>
      </c>
      <c r="E83" s="1025"/>
      <c r="F83" s="1025"/>
      <c r="G83" s="1025">
        <f t="shared" si="8"/>
        <v>0</v>
      </c>
      <c r="H83" s="1025"/>
      <c r="I83" s="1025">
        <f t="shared" si="9"/>
        <v>0</v>
      </c>
      <c r="J83" s="1025">
        <f t="shared" si="9"/>
        <v>0</v>
      </c>
      <c r="K83" s="1025">
        <f t="shared" si="9"/>
        <v>0</v>
      </c>
      <c r="L83" s="1025"/>
      <c r="M83" s="1013"/>
      <c r="N83" s="1013"/>
      <c r="O83" s="1013"/>
      <c r="P83" s="1025"/>
      <c r="Q83" s="1013"/>
      <c r="R83" s="1013"/>
      <c r="S83" s="1013"/>
    </row>
    <row r="84" spans="1:19" ht="12.75" hidden="1">
      <c r="A84" s="1048">
        <f t="shared" si="10"/>
        <v>2.6799999999999855</v>
      </c>
      <c r="B84" s="1013"/>
      <c r="C84" s="1025">
        <f t="shared" si="6"/>
        <v>0</v>
      </c>
      <c r="D84" s="1025">
        <f t="shared" si="7"/>
        <v>0</v>
      </c>
      <c r="E84" s="1025"/>
      <c r="F84" s="1025"/>
      <c r="G84" s="1025">
        <f t="shared" si="8"/>
        <v>0</v>
      </c>
      <c r="H84" s="1025"/>
      <c r="I84" s="1025">
        <f t="shared" si="9"/>
        <v>0</v>
      </c>
      <c r="J84" s="1025">
        <f t="shared" si="9"/>
        <v>0</v>
      </c>
      <c r="K84" s="1025">
        <f t="shared" si="9"/>
        <v>0</v>
      </c>
      <c r="L84" s="1025"/>
      <c r="M84" s="1013"/>
      <c r="N84" s="1013"/>
      <c r="O84" s="1013"/>
      <c r="P84" s="1025"/>
      <c r="Q84" s="1013"/>
      <c r="R84" s="1013"/>
      <c r="S84" s="1013"/>
    </row>
    <row r="85" spans="1:19" ht="12.75" hidden="1">
      <c r="A85" s="1048">
        <f t="shared" si="10"/>
        <v>2.6899999999999853</v>
      </c>
      <c r="B85" s="1013"/>
      <c r="C85" s="1025">
        <f t="shared" si="6"/>
        <v>0</v>
      </c>
      <c r="D85" s="1025">
        <f t="shared" si="7"/>
        <v>0</v>
      </c>
      <c r="E85" s="1025"/>
      <c r="F85" s="1025"/>
      <c r="G85" s="1025">
        <f t="shared" si="8"/>
        <v>0</v>
      </c>
      <c r="H85" s="1025"/>
      <c r="I85" s="1025">
        <f t="shared" si="9"/>
        <v>0</v>
      </c>
      <c r="J85" s="1025">
        <f t="shared" si="9"/>
        <v>0</v>
      </c>
      <c r="K85" s="1025">
        <f t="shared" si="9"/>
        <v>0</v>
      </c>
      <c r="L85" s="1025"/>
      <c r="M85" s="1013"/>
      <c r="N85" s="1013"/>
      <c r="O85" s="1013"/>
      <c r="P85" s="1025"/>
      <c r="Q85" s="1013"/>
      <c r="R85" s="1013"/>
      <c r="S85" s="1013"/>
    </row>
    <row r="86" spans="1:19" ht="12.75" hidden="1">
      <c r="A86" s="1048">
        <f t="shared" si="10"/>
        <v>2.699999999999985</v>
      </c>
      <c r="B86" s="1013"/>
      <c r="C86" s="1025">
        <f t="shared" si="6"/>
        <v>0</v>
      </c>
      <c r="D86" s="1025">
        <f t="shared" si="7"/>
        <v>0</v>
      </c>
      <c r="E86" s="1025"/>
      <c r="F86" s="1025"/>
      <c r="G86" s="1025">
        <f t="shared" si="8"/>
        <v>0</v>
      </c>
      <c r="H86" s="1025"/>
      <c r="I86" s="1025">
        <f t="shared" si="9"/>
        <v>0</v>
      </c>
      <c r="J86" s="1025">
        <f t="shared" si="9"/>
        <v>0</v>
      </c>
      <c r="K86" s="1025">
        <f t="shared" si="9"/>
        <v>0</v>
      </c>
      <c r="L86" s="1025"/>
      <c r="M86" s="1013"/>
      <c r="N86" s="1013"/>
      <c r="O86" s="1013"/>
      <c r="P86" s="1025"/>
      <c r="Q86" s="1013"/>
      <c r="R86" s="1013"/>
      <c r="S86" s="1013"/>
    </row>
    <row r="87" spans="1:19" ht="12.75" hidden="1">
      <c r="A87" s="1048">
        <f t="shared" si="10"/>
        <v>2.709999999999985</v>
      </c>
      <c r="B87" s="1013"/>
      <c r="C87" s="1025">
        <f t="shared" si="6"/>
        <v>0</v>
      </c>
      <c r="D87" s="1025">
        <f t="shared" si="7"/>
        <v>0</v>
      </c>
      <c r="E87" s="1025"/>
      <c r="F87" s="1025"/>
      <c r="G87" s="1025">
        <f t="shared" si="8"/>
        <v>0</v>
      </c>
      <c r="H87" s="1025"/>
      <c r="I87" s="1025">
        <f t="shared" si="9"/>
        <v>0</v>
      </c>
      <c r="J87" s="1025">
        <f t="shared" si="9"/>
        <v>0</v>
      </c>
      <c r="K87" s="1025">
        <f t="shared" si="9"/>
        <v>0</v>
      </c>
      <c r="L87" s="1025"/>
      <c r="M87" s="1013"/>
      <c r="N87" s="1013"/>
      <c r="O87" s="1013"/>
      <c r="P87" s="1025"/>
      <c r="Q87" s="1013"/>
      <c r="R87" s="1013"/>
      <c r="S87" s="1013"/>
    </row>
    <row r="88" spans="1:19" ht="12.75" hidden="1">
      <c r="A88" s="1048">
        <f t="shared" si="10"/>
        <v>2.7199999999999847</v>
      </c>
      <c r="B88" s="1013"/>
      <c r="C88" s="1025">
        <f t="shared" si="6"/>
        <v>0</v>
      </c>
      <c r="D88" s="1025">
        <f t="shared" si="7"/>
        <v>0</v>
      </c>
      <c r="E88" s="1025"/>
      <c r="F88" s="1025"/>
      <c r="G88" s="1025">
        <f t="shared" si="8"/>
        <v>0</v>
      </c>
      <c r="H88" s="1025"/>
      <c r="I88" s="1025">
        <f t="shared" si="9"/>
        <v>0</v>
      </c>
      <c r="J88" s="1025">
        <f t="shared" si="9"/>
        <v>0</v>
      </c>
      <c r="K88" s="1025">
        <f t="shared" si="9"/>
        <v>0</v>
      </c>
      <c r="L88" s="1025"/>
      <c r="M88" s="1013"/>
      <c r="N88" s="1013"/>
      <c r="O88" s="1013"/>
      <c r="P88" s="1025"/>
      <c r="Q88" s="1013"/>
      <c r="R88" s="1013"/>
      <c r="S88" s="1013"/>
    </row>
    <row r="89" spans="1:19" ht="12.75" hidden="1">
      <c r="A89" s="1048">
        <f t="shared" si="10"/>
        <v>2.7299999999999844</v>
      </c>
      <c r="B89" s="1013"/>
      <c r="C89" s="1025">
        <f t="shared" si="6"/>
        <v>0</v>
      </c>
      <c r="D89" s="1025">
        <f t="shared" si="7"/>
        <v>0</v>
      </c>
      <c r="E89" s="1025"/>
      <c r="F89" s="1025"/>
      <c r="G89" s="1025">
        <f t="shared" si="8"/>
        <v>0</v>
      </c>
      <c r="H89" s="1025"/>
      <c r="I89" s="1025">
        <f t="shared" si="9"/>
        <v>0</v>
      </c>
      <c r="J89" s="1025">
        <f t="shared" si="9"/>
        <v>0</v>
      </c>
      <c r="K89" s="1025">
        <f t="shared" si="9"/>
        <v>0</v>
      </c>
      <c r="L89" s="1025"/>
      <c r="M89" s="1013"/>
      <c r="N89" s="1013"/>
      <c r="O89" s="1013"/>
      <c r="P89" s="1025"/>
      <c r="Q89" s="1013"/>
      <c r="R89" s="1013"/>
      <c r="S89" s="1013"/>
    </row>
    <row r="90" spans="1:19" ht="12.75" hidden="1">
      <c r="A90" s="1048">
        <f t="shared" si="10"/>
        <v>2.7399999999999842</v>
      </c>
      <c r="B90" s="1013"/>
      <c r="C90" s="1025">
        <f t="shared" si="6"/>
        <v>0</v>
      </c>
      <c r="D90" s="1025">
        <f t="shared" si="7"/>
        <v>0</v>
      </c>
      <c r="E90" s="1025"/>
      <c r="F90" s="1025"/>
      <c r="G90" s="1025">
        <f t="shared" si="8"/>
        <v>0</v>
      </c>
      <c r="H90" s="1025"/>
      <c r="I90" s="1025">
        <f t="shared" si="9"/>
        <v>0</v>
      </c>
      <c r="J90" s="1025">
        <f t="shared" si="9"/>
        <v>0</v>
      </c>
      <c r="K90" s="1025">
        <f t="shared" si="9"/>
        <v>0</v>
      </c>
      <c r="L90" s="1025"/>
      <c r="M90" s="1013"/>
      <c r="N90" s="1013"/>
      <c r="O90" s="1013"/>
      <c r="P90" s="1025"/>
      <c r="Q90" s="1013"/>
      <c r="R90" s="1013"/>
      <c r="S90" s="1013"/>
    </row>
    <row r="91" spans="1:19" ht="12.75" hidden="1">
      <c r="A91" s="1048">
        <f t="shared" si="10"/>
        <v>2.749999999999984</v>
      </c>
      <c r="B91" s="1013"/>
      <c r="C91" s="1025">
        <f t="shared" si="6"/>
        <v>0</v>
      </c>
      <c r="D91" s="1025">
        <f t="shared" si="7"/>
        <v>0</v>
      </c>
      <c r="E91" s="1025"/>
      <c r="F91" s="1025"/>
      <c r="G91" s="1025">
        <f t="shared" si="8"/>
        <v>0</v>
      </c>
      <c r="H91" s="1025"/>
      <c r="I91" s="1025">
        <f t="shared" si="9"/>
        <v>0</v>
      </c>
      <c r="J91" s="1025">
        <f t="shared" si="9"/>
        <v>0</v>
      </c>
      <c r="K91" s="1025">
        <f t="shared" si="9"/>
        <v>0</v>
      </c>
      <c r="L91" s="1025"/>
      <c r="M91" s="1013"/>
      <c r="N91" s="1013"/>
      <c r="O91" s="1013"/>
      <c r="P91" s="1025"/>
      <c r="Q91" s="1013"/>
      <c r="R91" s="1013"/>
      <c r="S91" s="1013"/>
    </row>
    <row r="92" spans="1:19" ht="12.75" hidden="1">
      <c r="A92" s="1048">
        <f t="shared" si="10"/>
        <v>2.759999999999984</v>
      </c>
      <c r="B92" s="1013"/>
      <c r="C92" s="1025">
        <f t="shared" si="6"/>
        <v>0</v>
      </c>
      <c r="D92" s="1025">
        <f t="shared" si="7"/>
        <v>0</v>
      </c>
      <c r="E92" s="1025"/>
      <c r="F92" s="1025"/>
      <c r="G92" s="1025">
        <f t="shared" si="8"/>
        <v>0</v>
      </c>
      <c r="H92" s="1025"/>
      <c r="I92" s="1025">
        <f t="shared" si="9"/>
        <v>0</v>
      </c>
      <c r="J92" s="1025">
        <f t="shared" si="9"/>
        <v>0</v>
      </c>
      <c r="K92" s="1025">
        <f t="shared" si="9"/>
        <v>0</v>
      </c>
      <c r="L92" s="1025"/>
      <c r="M92" s="1013"/>
      <c r="N92" s="1013"/>
      <c r="O92" s="1013"/>
      <c r="P92" s="1025"/>
      <c r="Q92" s="1013"/>
      <c r="R92" s="1013"/>
      <c r="S92" s="1013"/>
    </row>
    <row r="93" spans="1:19" ht="12.75" hidden="1">
      <c r="A93" s="1048">
        <f t="shared" si="10"/>
        <v>2.7699999999999836</v>
      </c>
      <c r="B93" s="1013"/>
      <c r="C93" s="1025">
        <f t="shared" si="6"/>
        <v>0</v>
      </c>
      <c r="D93" s="1025">
        <f t="shared" si="7"/>
        <v>0</v>
      </c>
      <c r="E93" s="1025"/>
      <c r="F93" s="1025"/>
      <c r="G93" s="1025">
        <f t="shared" si="8"/>
        <v>0</v>
      </c>
      <c r="H93" s="1025"/>
      <c r="I93" s="1025">
        <f t="shared" si="9"/>
        <v>0</v>
      </c>
      <c r="J93" s="1025">
        <f t="shared" si="9"/>
        <v>0</v>
      </c>
      <c r="K93" s="1025">
        <f t="shared" si="9"/>
        <v>0</v>
      </c>
      <c r="L93" s="1025"/>
      <c r="M93" s="1013"/>
      <c r="N93" s="1013"/>
      <c r="O93" s="1013"/>
      <c r="P93" s="1025"/>
      <c r="Q93" s="1013"/>
      <c r="R93" s="1013"/>
      <c r="S93" s="1013"/>
    </row>
    <row r="94" spans="1:19" ht="12.75" hidden="1">
      <c r="A94" s="1048">
        <f t="shared" si="10"/>
        <v>2.7799999999999834</v>
      </c>
      <c r="B94" s="1013"/>
      <c r="C94" s="1025">
        <f t="shared" si="6"/>
        <v>0</v>
      </c>
      <c r="D94" s="1025">
        <f t="shared" si="7"/>
        <v>0</v>
      </c>
      <c r="E94" s="1025"/>
      <c r="F94" s="1025"/>
      <c r="G94" s="1025">
        <f t="shared" si="8"/>
        <v>0</v>
      </c>
      <c r="H94" s="1025"/>
      <c r="I94" s="1025">
        <f t="shared" si="9"/>
        <v>0</v>
      </c>
      <c r="J94" s="1025">
        <f t="shared" si="9"/>
        <v>0</v>
      </c>
      <c r="K94" s="1025">
        <f t="shared" si="9"/>
        <v>0</v>
      </c>
      <c r="L94" s="1025"/>
      <c r="M94" s="1013"/>
      <c r="N94" s="1013"/>
      <c r="O94" s="1013"/>
      <c r="P94" s="1025"/>
      <c r="Q94" s="1013"/>
      <c r="R94" s="1013"/>
      <c r="S94" s="1013"/>
    </row>
    <row r="95" spans="1:19" ht="12.75" hidden="1">
      <c r="A95" s="1048">
        <f t="shared" si="10"/>
        <v>2.789999999999983</v>
      </c>
      <c r="B95" s="1013"/>
      <c r="C95" s="1025">
        <f t="shared" si="6"/>
        <v>0</v>
      </c>
      <c r="D95" s="1025">
        <f t="shared" si="7"/>
        <v>0</v>
      </c>
      <c r="E95" s="1025"/>
      <c r="F95" s="1025"/>
      <c r="G95" s="1025">
        <f t="shared" si="8"/>
        <v>0</v>
      </c>
      <c r="H95" s="1025"/>
      <c r="I95" s="1025">
        <f t="shared" si="9"/>
        <v>0</v>
      </c>
      <c r="J95" s="1025">
        <f t="shared" si="9"/>
        <v>0</v>
      </c>
      <c r="K95" s="1025">
        <f t="shared" si="9"/>
        <v>0</v>
      </c>
      <c r="L95" s="1025"/>
      <c r="M95" s="1013"/>
      <c r="N95" s="1013"/>
      <c r="O95" s="1013"/>
      <c r="P95" s="1025"/>
      <c r="Q95" s="1013"/>
      <c r="R95" s="1013"/>
      <c r="S95" s="1013"/>
    </row>
    <row r="96" spans="1:19" ht="12.75" hidden="1">
      <c r="A96" s="1048">
        <f t="shared" si="10"/>
        <v>2.799999999999983</v>
      </c>
      <c r="B96" s="1013"/>
      <c r="C96" s="1013"/>
      <c r="D96" s="1013"/>
      <c r="E96" s="1025">
        <f aca="true" t="shared" si="11" ref="E96:F106">-C96</f>
        <v>0</v>
      </c>
      <c r="F96" s="1025">
        <f t="shared" si="11"/>
        <v>0</v>
      </c>
      <c r="G96" s="1025">
        <f t="shared" si="8"/>
        <v>0</v>
      </c>
      <c r="H96" s="1025"/>
      <c r="I96" s="1025"/>
      <c r="J96" s="1025"/>
      <c r="K96" s="1025"/>
      <c r="L96" s="1025"/>
      <c r="M96" s="1025"/>
      <c r="N96" s="1025"/>
      <c r="O96" s="1025"/>
      <c r="P96" s="1025"/>
      <c r="Q96" s="1025"/>
      <c r="R96" s="1025"/>
      <c r="S96" s="1025"/>
    </row>
    <row r="97" spans="1:19" ht="12.75" hidden="1">
      <c r="A97" s="1048">
        <f t="shared" si="10"/>
        <v>2.8099999999999827</v>
      </c>
      <c r="B97" s="1013"/>
      <c r="C97" s="1013"/>
      <c r="D97" s="1013"/>
      <c r="E97" s="1025">
        <f t="shared" si="11"/>
        <v>0</v>
      </c>
      <c r="F97" s="1025">
        <f t="shared" si="11"/>
        <v>0</v>
      </c>
      <c r="G97" s="1025">
        <f t="shared" si="8"/>
        <v>0</v>
      </c>
      <c r="H97" s="1025"/>
      <c r="I97" s="1025"/>
      <c r="J97" s="1025"/>
      <c r="K97" s="1025"/>
      <c r="L97" s="1025"/>
      <c r="M97" s="1025"/>
      <c r="N97" s="1025"/>
      <c r="O97" s="1025"/>
      <c r="P97" s="1025"/>
      <c r="Q97" s="1025"/>
      <c r="R97" s="1025"/>
      <c r="S97" s="1025"/>
    </row>
    <row r="98" spans="1:19" ht="12.75" hidden="1">
      <c r="A98" s="1048">
        <f t="shared" si="10"/>
        <v>2.8199999999999825</v>
      </c>
      <c r="B98" s="1013"/>
      <c r="C98" s="1013"/>
      <c r="D98" s="1013"/>
      <c r="E98" s="1025">
        <f t="shared" si="11"/>
        <v>0</v>
      </c>
      <c r="F98" s="1025">
        <f t="shared" si="11"/>
        <v>0</v>
      </c>
      <c r="G98" s="1025">
        <f t="shared" si="8"/>
        <v>0</v>
      </c>
      <c r="H98" s="1025"/>
      <c r="I98" s="1025"/>
      <c r="J98" s="1025"/>
      <c r="K98" s="1025"/>
      <c r="L98" s="1025"/>
      <c r="M98" s="1025"/>
      <c r="N98" s="1025"/>
      <c r="O98" s="1025"/>
      <c r="P98" s="1025"/>
      <c r="Q98" s="1025"/>
      <c r="R98" s="1025"/>
      <c r="S98" s="1025"/>
    </row>
    <row r="99" spans="1:19" ht="12.75" hidden="1">
      <c r="A99" s="1048">
        <f t="shared" si="10"/>
        <v>2.8299999999999823</v>
      </c>
      <c r="B99" s="1013"/>
      <c r="C99" s="1013"/>
      <c r="D99" s="1013"/>
      <c r="E99" s="1025">
        <f t="shared" si="11"/>
        <v>0</v>
      </c>
      <c r="F99" s="1025">
        <f t="shared" si="11"/>
        <v>0</v>
      </c>
      <c r="G99" s="1025">
        <f t="shared" si="8"/>
        <v>0</v>
      </c>
      <c r="H99" s="1025"/>
      <c r="I99" s="1025"/>
      <c r="J99" s="1025"/>
      <c r="K99" s="1025"/>
      <c r="L99" s="1025"/>
      <c r="M99" s="1025"/>
      <c r="N99" s="1025"/>
      <c r="O99" s="1025"/>
      <c r="P99" s="1025"/>
      <c r="Q99" s="1025"/>
      <c r="R99" s="1025"/>
      <c r="S99" s="1025"/>
    </row>
    <row r="100" spans="1:19" ht="12.75" hidden="1">
      <c r="A100" s="1048">
        <f t="shared" si="10"/>
        <v>2.839999999999982</v>
      </c>
      <c r="B100" s="1013"/>
      <c r="C100" s="1013"/>
      <c r="D100" s="1013"/>
      <c r="E100" s="1025">
        <f t="shared" si="11"/>
        <v>0</v>
      </c>
      <c r="F100" s="1025">
        <f t="shared" si="11"/>
        <v>0</v>
      </c>
      <c r="G100" s="1025">
        <f t="shared" si="8"/>
        <v>0</v>
      </c>
      <c r="H100" s="1025"/>
      <c r="I100" s="1025"/>
      <c r="J100" s="1025"/>
      <c r="K100" s="1025"/>
      <c r="L100" s="1025"/>
      <c r="M100" s="1025"/>
      <c r="N100" s="1025"/>
      <c r="O100" s="1025"/>
      <c r="P100" s="1025"/>
      <c r="Q100" s="1025"/>
      <c r="R100" s="1025"/>
      <c r="S100" s="1025"/>
    </row>
    <row r="101" spans="1:19" ht="12.75" hidden="1">
      <c r="A101" s="1048">
        <f t="shared" si="10"/>
        <v>2.849999999999982</v>
      </c>
      <c r="B101" s="1013"/>
      <c r="C101" s="1013"/>
      <c r="D101" s="1013"/>
      <c r="E101" s="1025">
        <f t="shared" si="11"/>
        <v>0</v>
      </c>
      <c r="F101" s="1025">
        <f t="shared" si="11"/>
        <v>0</v>
      </c>
      <c r="G101" s="1025">
        <f t="shared" si="8"/>
        <v>0</v>
      </c>
      <c r="H101" s="1025"/>
      <c r="I101" s="1025"/>
      <c r="J101" s="1025"/>
      <c r="K101" s="1025"/>
      <c r="L101" s="1025"/>
      <c r="M101" s="1025"/>
      <c r="N101" s="1025"/>
      <c r="O101" s="1025"/>
      <c r="P101" s="1025"/>
      <c r="Q101" s="1025"/>
      <c r="R101" s="1025"/>
      <c r="S101" s="1025"/>
    </row>
    <row r="102" spans="1:19" ht="12.75" hidden="1">
      <c r="A102" s="1048">
        <f t="shared" si="10"/>
        <v>2.8599999999999817</v>
      </c>
      <c r="B102" s="1013"/>
      <c r="C102" s="1013"/>
      <c r="D102" s="1013"/>
      <c r="E102" s="1025">
        <f t="shared" si="11"/>
        <v>0</v>
      </c>
      <c r="F102" s="1025">
        <f t="shared" si="11"/>
        <v>0</v>
      </c>
      <c r="G102" s="1025">
        <f t="shared" si="8"/>
        <v>0</v>
      </c>
      <c r="H102" s="1025"/>
      <c r="I102" s="1025"/>
      <c r="J102" s="1025"/>
      <c r="K102" s="1025"/>
      <c r="L102" s="1025"/>
      <c r="M102" s="1025"/>
      <c r="N102" s="1025"/>
      <c r="O102" s="1025"/>
      <c r="P102" s="1025"/>
      <c r="Q102" s="1025"/>
      <c r="R102" s="1025"/>
      <c r="S102" s="1025"/>
    </row>
    <row r="103" spans="1:19" ht="12.75" hidden="1">
      <c r="A103" s="1048">
        <f t="shared" si="10"/>
        <v>2.8699999999999815</v>
      </c>
      <c r="B103" s="1013"/>
      <c r="C103" s="1013"/>
      <c r="D103" s="1013"/>
      <c r="E103" s="1025">
        <f t="shared" si="11"/>
        <v>0</v>
      </c>
      <c r="F103" s="1025">
        <f t="shared" si="11"/>
        <v>0</v>
      </c>
      <c r="G103" s="1025">
        <f t="shared" si="8"/>
        <v>0</v>
      </c>
      <c r="H103" s="1025"/>
      <c r="I103" s="1025"/>
      <c r="J103" s="1025"/>
      <c r="K103" s="1025"/>
      <c r="L103" s="1025"/>
      <c r="M103" s="1025"/>
      <c r="N103" s="1025"/>
      <c r="O103" s="1025"/>
      <c r="P103" s="1025"/>
      <c r="Q103" s="1025"/>
      <c r="R103" s="1025"/>
      <c r="S103" s="1025"/>
    </row>
    <row r="104" spans="1:19" ht="12.75" hidden="1">
      <c r="A104" s="1048">
        <f t="shared" si="10"/>
        <v>2.8799999999999812</v>
      </c>
      <c r="B104" s="1013"/>
      <c r="C104" s="1013"/>
      <c r="D104" s="1013"/>
      <c r="E104" s="1025">
        <f t="shared" si="11"/>
        <v>0</v>
      </c>
      <c r="F104" s="1025">
        <f t="shared" si="11"/>
        <v>0</v>
      </c>
      <c r="G104" s="1025">
        <f t="shared" si="8"/>
        <v>0</v>
      </c>
      <c r="H104" s="1025"/>
      <c r="I104" s="1025"/>
      <c r="J104" s="1025"/>
      <c r="K104" s="1025"/>
      <c r="L104" s="1025"/>
      <c r="M104" s="1025"/>
      <c r="N104" s="1025"/>
      <c r="O104" s="1025"/>
      <c r="P104" s="1025"/>
      <c r="Q104" s="1025"/>
      <c r="R104" s="1025"/>
      <c r="S104" s="1025"/>
    </row>
    <row r="105" spans="1:19" ht="12.75" hidden="1">
      <c r="A105" s="1048">
        <f t="shared" si="10"/>
        <v>2.889999999999981</v>
      </c>
      <c r="B105" s="1013"/>
      <c r="C105" s="1013"/>
      <c r="D105" s="1013"/>
      <c r="E105" s="1025">
        <f t="shared" si="11"/>
        <v>0</v>
      </c>
      <c r="F105" s="1025">
        <f t="shared" si="11"/>
        <v>0</v>
      </c>
      <c r="G105" s="1025">
        <f t="shared" si="8"/>
        <v>0</v>
      </c>
      <c r="H105" s="1025"/>
      <c r="I105" s="1025"/>
      <c r="J105" s="1025"/>
      <c r="K105" s="1025"/>
      <c r="L105" s="1025"/>
      <c r="M105" s="1025"/>
      <c r="N105" s="1025"/>
      <c r="O105" s="1025"/>
      <c r="P105" s="1025"/>
      <c r="Q105" s="1025"/>
      <c r="R105" s="1025"/>
      <c r="S105" s="1025"/>
    </row>
    <row r="106" spans="1:19" ht="12.75" hidden="1">
      <c r="A106" s="1048">
        <f t="shared" si="10"/>
        <v>2.899999999999981</v>
      </c>
      <c r="B106" s="1013"/>
      <c r="C106" s="1013"/>
      <c r="D106" s="1013"/>
      <c r="E106" s="1025">
        <f t="shared" si="11"/>
        <v>0</v>
      </c>
      <c r="F106" s="1025">
        <f t="shared" si="11"/>
        <v>0</v>
      </c>
      <c r="G106" s="1025">
        <f t="shared" si="8"/>
        <v>0</v>
      </c>
      <c r="H106" s="1025"/>
      <c r="I106" s="1025">
        <f aca="true" t="shared" si="12" ref="I106:K107">(M106+Q106)/2</f>
        <v>0</v>
      </c>
      <c r="J106" s="1025">
        <f t="shared" si="12"/>
        <v>0</v>
      </c>
      <c r="K106" s="1025">
        <f t="shared" si="12"/>
        <v>0</v>
      </c>
      <c r="L106" s="1025"/>
      <c r="M106" s="1025"/>
      <c r="N106" s="1025"/>
      <c r="O106" s="1025"/>
      <c r="P106" s="1025"/>
      <c r="Q106" s="1025"/>
      <c r="R106" s="1025"/>
      <c r="S106" s="1025"/>
    </row>
    <row r="107" spans="1:19" ht="12.75" hidden="1">
      <c r="A107" s="1048">
        <f t="shared" si="10"/>
        <v>2.9099999999999806</v>
      </c>
      <c r="B107" s="1013"/>
      <c r="C107" s="1025">
        <f>SUM(M107:O107)</f>
        <v>0</v>
      </c>
      <c r="D107" s="1025">
        <f>SUM(Q107:S107)</f>
        <v>0</v>
      </c>
      <c r="E107" s="1025"/>
      <c r="F107" s="1025"/>
      <c r="G107" s="1025">
        <f t="shared" si="8"/>
        <v>0</v>
      </c>
      <c r="H107" s="1025"/>
      <c r="I107" s="1025">
        <f t="shared" si="12"/>
        <v>0</v>
      </c>
      <c r="J107" s="1025">
        <f t="shared" si="12"/>
        <v>0</v>
      </c>
      <c r="K107" s="1025">
        <f t="shared" si="12"/>
        <v>0</v>
      </c>
      <c r="L107" s="1025"/>
      <c r="M107" s="1013"/>
      <c r="N107" s="1013"/>
      <c r="O107" s="1013"/>
      <c r="P107" s="1025"/>
      <c r="Q107" s="1013"/>
      <c r="R107" s="1013"/>
      <c r="S107" s="1013"/>
    </row>
    <row r="108" spans="1:19" ht="12.75">
      <c r="A108" s="1042"/>
      <c r="B108" s="1025"/>
      <c r="C108" s="1025"/>
      <c r="D108" s="1025"/>
      <c r="E108" s="1025"/>
      <c r="F108" s="1025"/>
      <c r="G108" s="1025"/>
      <c r="H108" s="1025"/>
      <c r="I108" s="1025"/>
      <c r="J108" s="1025"/>
      <c r="K108" s="1025"/>
      <c r="L108" s="1025"/>
      <c r="M108" s="1025"/>
      <c r="N108" s="1025"/>
      <c r="O108" s="1025"/>
      <c r="P108" s="1025"/>
      <c r="Q108" s="1025"/>
      <c r="R108" s="1025"/>
      <c r="S108" s="1025"/>
    </row>
    <row r="109" spans="1:19" ht="13.5" thickBot="1">
      <c r="A109" s="1008">
        <v>3</v>
      </c>
      <c r="B109" s="1030" t="s">
        <v>702</v>
      </c>
      <c r="C109" s="1043">
        <f>SUM(C17:C108)</f>
        <v>11163408</v>
      </c>
      <c r="D109" s="1043">
        <f>SUM(D17:D108)</f>
        <v>26994509</v>
      </c>
      <c r="E109" s="1043">
        <f>SUM(E17:E108)</f>
        <v>-203367</v>
      </c>
      <c r="F109" s="1043">
        <f>SUM(F17:F108)</f>
        <v>-14168448</v>
      </c>
      <c r="G109" s="1043">
        <f>SUM(G17:G108)</f>
        <v>11893053</v>
      </c>
      <c r="H109" s="1025"/>
      <c r="I109" s="1043">
        <f>SUM(I17:I108)</f>
        <v>0</v>
      </c>
      <c r="J109" s="1043">
        <f>SUM(J17:J108)</f>
        <v>11893051</v>
      </c>
      <c r="K109" s="1043">
        <f>SUM(K17:K108)</f>
        <v>0</v>
      </c>
      <c r="L109" s="1025"/>
      <c r="M109" s="1043">
        <f>SUM(M17:M108)</f>
        <v>0</v>
      </c>
      <c r="N109" s="1043">
        <f>SUM(N17:N108)</f>
        <v>10960041</v>
      </c>
      <c r="O109" s="1043">
        <f>SUM(O17:O108)</f>
        <v>0</v>
      </c>
      <c r="P109" s="1025"/>
      <c r="Q109" s="1043">
        <f>SUM(Q17:Q108)</f>
        <v>0</v>
      </c>
      <c r="R109" s="1043">
        <f>SUM(R17:R108)</f>
        <v>12826061</v>
      </c>
      <c r="S109" s="1043">
        <f>SUM(S17:S108)</f>
        <v>0</v>
      </c>
    </row>
    <row r="110" spans="1:256" s="1161" customFormat="1" ht="13.5" thickTop="1">
      <c r="A110" s="1009">
        <v>4</v>
      </c>
      <c r="B110" s="1017" t="s">
        <v>703</v>
      </c>
      <c r="C110" s="1238">
        <f>C77+C78</f>
        <v>0</v>
      </c>
      <c r="D110" s="1238">
        <f>D77+D78</f>
        <v>0</v>
      </c>
      <c r="E110" s="1238">
        <f>E77+E78</f>
        <v>0</v>
      </c>
      <c r="F110" s="1238">
        <f>F77+F78</f>
        <v>0</v>
      </c>
      <c r="G110" s="1238">
        <f>G77+G78</f>
        <v>0</v>
      </c>
      <c r="I110" s="1238">
        <f>I77+I78</f>
        <v>0</v>
      </c>
      <c r="J110" s="1238">
        <f>J77+J78</f>
        <v>0</v>
      </c>
      <c r="K110" s="1238">
        <f>K77+K78</f>
        <v>0</v>
      </c>
      <c r="M110" s="1238">
        <f>M77+M78</f>
        <v>0</v>
      </c>
      <c r="N110" s="1238">
        <f>N77+N78</f>
        <v>0</v>
      </c>
      <c r="O110" s="1238">
        <f>O77+O78</f>
        <v>0</v>
      </c>
      <c r="Q110" s="1238">
        <f>Q77+Q78</f>
        <v>0</v>
      </c>
      <c r="R110" s="1238">
        <f>R77+R78</f>
        <v>0</v>
      </c>
      <c r="S110" s="1238">
        <f>S77+S78</f>
        <v>0</v>
      </c>
      <c r="IV110" s="1238"/>
    </row>
    <row r="111" ht="12.75">
      <c r="I111" s="1044"/>
    </row>
  </sheetData>
  <sheetProtection/>
  <printOptions/>
  <pageMargins left="0.7" right="0.7" top="0.75" bottom="0.75" header="0.3" footer="0.3"/>
  <pageSetup fitToHeight="0" fitToWidth="1" horizontalDpi="600" verticalDpi="600" orientation="landscape" scale="42" r:id="rId1"/>
</worksheet>
</file>

<file path=xl/worksheets/sheet6.xml><?xml version="1.0" encoding="utf-8"?>
<worksheet xmlns="http://schemas.openxmlformats.org/spreadsheetml/2006/main" xmlns:r="http://schemas.openxmlformats.org/officeDocument/2006/relationships">
  <sheetPr>
    <pageSetUpPr fitToPage="1"/>
  </sheetPr>
  <dimension ref="A1:O103"/>
  <sheetViews>
    <sheetView view="pageBreakPreview" zoomScale="85" zoomScaleNormal="75" zoomScaleSheetLayoutView="85" zoomScalePageLayoutView="0" workbookViewId="0" topLeftCell="A1">
      <selection activeCell="A1" sqref="A1:L1"/>
    </sheetView>
  </sheetViews>
  <sheetFormatPr defaultColWidth="11.421875" defaultRowHeight="12.75"/>
  <cols>
    <col min="1" max="1" width="8.140625" style="418" customWidth="1"/>
    <col min="2" max="2" width="12.140625" style="416" customWidth="1"/>
    <col min="3" max="3" width="41.7109375" style="416" customWidth="1"/>
    <col min="4" max="4" width="30.00390625" style="416" customWidth="1"/>
    <col min="5" max="5" width="22.140625" style="421" customWidth="1"/>
    <col min="6" max="6" width="0.9921875" style="421" customWidth="1"/>
    <col min="7" max="7" width="20.8515625" style="416" customWidth="1"/>
    <col min="8" max="8" width="0.9921875" style="416" customWidth="1"/>
    <col min="9" max="9" width="19.140625" style="416" customWidth="1"/>
    <col min="10" max="10" width="16.7109375" style="416" customWidth="1"/>
    <col min="11" max="11" width="15.28125" style="416" customWidth="1"/>
    <col min="12" max="12" width="34.00390625" style="416" customWidth="1"/>
    <col min="13" max="13" width="21.28125" style="416" customWidth="1"/>
    <col min="14" max="14" width="13.421875" style="416" customWidth="1"/>
    <col min="15" max="15" width="13.7109375" style="416" customWidth="1"/>
    <col min="16" max="16384" width="11.421875" style="416" customWidth="1"/>
  </cols>
  <sheetData>
    <row r="1" spans="1:15" ht="15">
      <c r="A1" s="1421" t="str">
        <f>TCOS!$F$3</f>
        <v>AEPTCo subsidiaries in PJM</v>
      </c>
      <c r="B1" s="1421" t="str">
        <f>TCOS!$F$3</f>
        <v>AEPTCo subsidiaries in PJM</v>
      </c>
      <c r="C1" s="1421" t="str">
        <f>TCOS!$F$3</f>
        <v>AEPTCo subsidiaries in PJM</v>
      </c>
      <c r="D1" s="1421" t="str">
        <f>TCOS!$F$3</f>
        <v>AEPTCo subsidiaries in PJM</v>
      </c>
      <c r="E1" s="1421" t="str">
        <f>TCOS!$F$3</f>
        <v>AEPTCo subsidiaries in PJM</v>
      </c>
      <c r="F1" s="1421" t="str">
        <f>TCOS!$F$3</f>
        <v>AEPTCo subsidiaries in PJM</v>
      </c>
      <c r="G1" s="1421" t="str">
        <f>TCOS!$F$3</f>
        <v>AEPTCo subsidiaries in PJM</v>
      </c>
      <c r="H1" s="1421" t="str">
        <f>TCOS!$F$3</f>
        <v>AEPTCo subsidiaries in PJM</v>
      </c>
      <c r="I1" s="1421" t="str">
        <f>TCOS!$F$3</f>
        <v>AEPTCo subsidiaries in PJM</v>
      </c>
      <c r="J1" s="1421" t="str">
        <f>TCOS!$F$3</f>
        <v>AEPTCo subsidiaries in PJM</v>
      </c>
      <c r="K1" s="1421" t="str">
        <f>TCOS!$F$3</f>
        <v>AEPTCo subsidiaries in PJM</v>
      </c>
      <c r="L1" s="1421" t="str">
        <f>TCOS!$F$3</f>
        <v>AEPTCo subsidiaries in PJM</v>
      </c>
      <c r="M1" s="415"/>
      <c r="N1" s="415"/>
      <c r="O1" s="415"/>
    </row>
    <row r="2" spans="1:15" ht="15">
      <c r="A2" s="1442" t="str">
        <f>"Cost of Service Formula Rate Using Actual/Projected FF1 Balances"</f>
        <v>Cost of Service Formula Rate Using Actual/Projected FF1 Balances</v>
      </c>
      <c r="B2" s="1442"/>
      <c r="C2" s="1442"/>
      <c r="D2" s="1442"/>
      <c r="E2" s="1442"/>
      <c r="F2" s="1442"/>
      <c r="G2" s="1442"/>
      <c r="H2" s="1442"/>
      <c r="I2" s="1442"/>
      <c r="J2" s="1442"/>
      <c r="K2" s="1442"/>
      <c r="L2" s="1442"/>
      <c r="M2" s="435"/>
      <c r="N2" s="435"/>
      <c r="O2" s="435"/>
    </row>
    <row r="3" spans="1:15" ht="15">
      <c r="A3" s="1442" t="s">
        <v>292</v>
      </c>
      <c r="B3" s="1442"/>
      <c r="C3" s="1442"/>
      <c r="D3" s="1442"/>
      <c r="E3" s="1442"/>
      <c r="F3" s="1442"/>
      <c r="G3" s="1442"/>
      <c r="H3" s="1442"/>
      <c r="I3" s="1442"/>
      <c r="J3" s="1442"/>
      <c r="K3" s="1442"/>
      <c r="L3" s="1442"/>
      <c r="M3" s="417"/>
      <c r="N3" s="417"/>
      <c r="O3" s="417"/>
    </row>
    <row r="4" spans="1:15" ht="15">
      <c r="A4" s="1443" t="str">
        <f>TCOS!F7</f>
        <v>AEP WEST VIRGINIA TRANSMISSION COMPANY</v>
      </c>
      <c r="B4" s="1443"/>
      <c r="C4" s="1443"/>
      <c r="D4" s="1443"/>
      <c r="E4" s="1443"/>
      <c r="F4" s="1443"/>
      <c r="G4" s="1443"/>
      <c r="H4" s="1443"/>
      <c r="I4" s="1443"/>
      <c r="J4" s="1443"/>
      <c r="K4" s="1443"/>
      <c r="L4" s="1443"/>
      <c r="M4" s="165"/>
      <c r="N4" s="165"/>
      <c r="O4" s="165"/>
    </row>
    <row r="5" spans="1:15" ht="15">
      <c r="A5" s="165"/>
      <c r="B5" s="165"/>
      <c r="C5" s="165"/>
      <c r="D5" s="165"/>
      <c r="E5" s="165"/>
      <c r="F5" s="165"/>
      <c r="G5" s="165"/>
      <c r="H5" s="436"/>
      <c r="I5" s="431"/>
      <c r="J5" s="431"/>
      <c r="K5" s="431"/>
      <c r="L5" s="431"/>
      <c r="M5" s="431"/>
      <c r="N5" s="431"/>
      <c r="O5" s="431"/>
    </row>
    <row r="6" spans="1:15" ht="12.75" customHeight="1">
      <c r="A6" s="437"/>
      <c r="B6" s="437" t="s">
        <v>463</v>
      </c>
      <c r="C6" s="437" t="s">
        <v>464</v>
      </c>
      <c r="D6" s="438" t="s">
        <v>332</v>
      </c>
      <c r="E6" s="438" t="s">
        <v>466</v>
      </c>
      <c r="F6" s="437"/>
      <c r="G6" s="437" t="s">
        <v>386</v>
      </c>
      <c r="H6" s="437"/>
      <c r="I6" s="437" t="s">
        <v>387</v>
      </c>
      <c r="J6" s="437" t="s">
        <v>388</v>
      </c>
      <c r="K6" s="437" t="s">
        <v>393</v>
      </c>
      <c r="L6" s="437" t="s">
        <v>297</v>
      </c>
      <c r="M6" s="437"/>
      <c r="N6" s="437"/>
      <c r="O6" s="437"/>
    </row>
    <row r="7" ht="12.75">
      <c r="A7" s="432"/>
    </row>
    <row r="8" spans="1:15" ht="18">
      <c r="A8" s="423"/>
      <c r="B8" s="1434" t="s">
        <v>500</v>
      </c>
      <c r="C8" s="1434"/>
      <c r="D8" s="1434"/>
      <c r="E8" s="1434"/>
      <c r="F8" s="1434"/>
      <c r="G8" s="1434"/>
      <c r="H8" s="1434"/>
      <c r="I8" s="1434"/>
      <c r="J8" s="1434"/>
      <c r="K8" s="1434"/>
      <c r="O8" s="421"/>
    </row>
    <row r="9" spans="1:15" ht="12.75">
      <c r="A9" s="423"/>
      <c r="I9" s="153"/>
      <c r="J9" s="153"/>
      <c r="O9" s="421"/>
    </row>
    <row r="10" spans="1:15" ht="12.75" customHeight="1">
      <c r="A10" s="419" t="s">
        <v>470</v>
      </c>
      <c r="B10" s="427"/>
      <c r="C10" s="439"/>
      <c r="D10" s="440"/>
      <c r="E10" s="1435" t="str">
        <f>"Balance @ December 31, "&amp;TCOS!L2&amp;""</f>
        <v>Balance @ December 31, 2017</v>
      </c>
      <c r="F10" s="440"/>
      <c r="G10" s="1435" t="str">
        <f>"Balance @ December 31, "&amp;TCOS!L2-1&amp;""</f>
        <v>Balance @ December 31, 2016</v>
      </c>
      <c r="H10" s="441"/>
      <c r="I10" s="1437" t="str">
        <f>"Average Balance for "&amp;TCOS!L2&amp;""</f>
        <v>Average Balance for 2017</v>
      </c>
      <c r="J10" s="420"/>
      <c r="K10" s="424"/>
      <c r="L10" s="442"/>
      <c r="M10" s="424"/>
      <c r="N10" s="424"/>
      <c r="O10" s="421"/>
    </row>
    <row r="11" spans="1:14" ht="12.75">
      <c r="A11" s="419" t="s">
        <v>408</v>
      </c>
      <c r="B11" s="425"/>
      <c r="C11" s="427"/>
      <c r="D11" s="443" t="s">
        <v>499</v>
      </c>
      <c r="E11" s="1436"/>
      <c r="F11" s="444"/>
      <c r="G11" s="1436"/>
      <c r="H11" s="445"/>
      <c r="I11" s="1438"/>
      <c r="J11" s="420"/>
      <c r="K11" s="446"/>
      <c r="L11" s="447"/>
      <c r="M11" s="422"/>
      <c r="N11" s="422"/>
    </row>
    <row r="12" spans="1:14" ht="12.75">
      <c r="A12" s="425"/>
      <c r="B12" s="425"/>
      <c r="C12" s="427"/>
      <c r="D12" s="448"/>
      <c r="E12" s="430"/>
      <c r="F12" s="430"/>
      <c r="G12" s="449"/>
      <c r="H12" s="429"/>
      <c r="J12" s="153"/>
      <c r="K12" s="446"/>
      <c r="L12" s="447"/>
      <c r="M12" s="422"/>
      <c r="N12" s="422"/>
    </row>
    <row r="13" spans="1:14" ht="12.75">
      <c r="A13" s="425">
        <v>1</v>
      </c>
      <c r="B13" s="425"/>
      <c r="D13" s="450"/>
      <c r="E13" s="451"/>
      <c r="F13" s="430"/>
      <c r="G13" s="451"/>
      <c r="H13" s="451"/>
      <c r="I13" s="451"/>
      <c r="K13" s="451"/>
      <c r="L13" s="451"/>
      <c r="M13" s="422"/>
      <c r="N13" s="422"/>
    </row>
    <row r="14" spans="1:14" ht="12.75">
      <c r="A14" s="425"/>
      <c r="B14" s="425"/>
      <c r="C14" s="450"/>
      <c r="D14" s="450"/>
      <c r="E14" s="451"/>
      <c r="F14" s="430"/>
      <c r="G14" s="451"/>
      <c r="H14" s="451"/>
      <c r="I14" s="451"/>
      <c r="K14" s="451"/>
      <c r="L14" s="451"/>
      <c r="M14" s="422"/>
      <c r="N14" s="422"/>
    </row>
    <row r="15" spans="1:14" ht="12.75">
      <c r="A15" s="425">
        <f>+A13+1</f>
        <v>2</v>
      </c>
      <c r="B15" s="425"/>
      <c r="C15" s="450" t="s">
        <v>325</v>
      </c>
      <c r="D15" s="426" t="s">
        <v>219</v>
      </c>
      <c r="E15" s="1315">
        <v>0</v>
      </c>
      <c r="F15" s="1314"/>
      <c r="G15" s="1315">
        <v>0</v>
      </c>
      <c r="H15" s="451"/>
      <c r="I15" s="428">
        <f>IF(G15="",0,(E15+G15)/2)</f>
        <v>0</v>
      </c>
      <c r="J15" s="169"/>
      <c r="K15" s="428"/>
      <c r="L15" s="451"/>
      <c r="M15" s="422"/>
      <c r="N15" s="422"/>
    </row>
    <row r="16" spans="1:14" ht="12.75">
      <c r="A16" s="425"/>
      <c r="B16" s="425"/>
      <c r="C16" s="450"/>
      <c r="D16" s="169"/>
      <c r="E16"/>
      <c r="F16"/>
      <c r="G16"/>
      <c r="H16" s="169"/>
      <c r="I16" s="341"/>
      <c r="J16" s="169"/>
      <c r="K16" s="169"/>
      <c r="L16" s="451"/>
      <c r="M16" s="422"/>
      <c r="N16" s="422"/>
    </row>
    <row r="17" spans="1:14" ht="12.75">
      <c r="A17" s="425">
        <f>+A15+1</f>
        <v>3</v>
      </c>
      <c r="B17" s="425"/>
      <c r="C17" s="450" t="s">
        <v>326</v>
      </c>
      <c r="D17" s="426" t="s">
        <v>220</v>
      </c>
      <c r="E17" s="1315">
        <v>0</v>
      </c>
      <c r="F17" s="1314"/>
      <c r="G17" s="1315">
        <v>0</v>
      </c>
      <c r="H17" s="429"/>
      <c r="I17" s="428">
        <f>IF(G17="",0,(E17+G17)/2)</f>
        <v>0</v>
      </c>
      <c r="J17" s="153"/>
      <c r="K17" s="446"/>
      <c r="L17" s="447"/>
      <c r="M17" s="422"/>
      <c r="N17" s="422"/>
    </row>
    <row r="18" spans="1:14" ht="12.75">
      <c r="A18" s="425"/>
      <c r="B18" s="425"/>
      <c r="C18" s="450"/>
      <c r="D18" s="426"/>
      <c r="E18"/>
      <c r="F18"/>
      <c r="G18"/>
      <c r="H18" s="169"/>
      <c r="I18" s="169"/>
      <c r="J18" s="169"/>
      <c r="K18" s="446"/>
      <c r="L18" s="447"/>
      <c r="M18" s="422"/>
      <c r="N18" s="422"/>
    </row>
    <row r="19" spans="1:14" ht="12.75">
      <c r="A19" s="425">
        <f>+A17+1</f>
        <v>4</v>
      </c>
      <c r="B19" s="425"/>
      <c r="C19" s="42" t="s">
        <v>779</v>
      </c>
      <c r="D19" s="426" t="s">
        <v>221</v>
      </c>
      <c r="E19" s="1315">
        <v>0</v>
      </c>
      <c r="F19" s="1314"/>
      <c r="G19" s="1315">
        <v>0</v>
      </c>
      <c r="H19" s="429"/>
      <c r="I19" s="428">
        <f>IF(G19="",0,(E19+G19)/2)</f>
        <v>0</v>
      </c>
      <c r="J19" s="153"/>
      <c r="K19" s="446"/>
      <c r="L19" s="447"/>
      <c r="M19" s="422"/>
      <c r="N19" s="422"/>
    </row>
    <row r="20" spans="1:14" ht="12.75">
      <c r="A20" s="425"/>
      <c r="B20" s="425"/>
      <c r="C20" s="427"/>
      <c r="D20" s="448"/>
      <c r="E20" s="430"/>
      <c r="F20" s="430"/>
      <c r="G20" s="421"/>
      <c r="H20" s="429"/>
      <c r="I20" s="421"/>
      <c r="J20" s="153"/>
      <c r="K20" s="446"/>
      <c r="L20" s="447"/>
      <c r="M20" s="422"/>
      <c r="N20" s="422"/>
    </row>
    <row r="21" spans="1:14" ht="12.75">
      <c r="A21" s="452"/>
      <c r="B21" s="452"/>
      <c r="C21" s="453"/>
      <c r="D21" s="454"/>
      <c r="E21" s="455"/>
      <c r="F21" s="455"/>
      <c r="G21" s="456"/>
      <c r="H21" s="457"/>
      <c r="I21" s="456"/>
      <c r="J21" s="458"/>
      <c r="K21" s="459"/>
      <c r="L21" s="460"/>
      <c r="M21" s="422"/>
      <c r="N21" s="422"/>
    </row>
    <row r="22" spans="1:14" ht="18">
      <c r="A22" s="425"/>
      <c r="B22" s="1434" t="s">
        <v>780</v>
      </c>
      <c r="C22" s="1434"/>
      <c r="D22" s="1434"/>
      <c r="E22" s="1434"/>
      <c r="F22" s="1434"/>
      <c r="G22" s="1434"/>
      <c r="H22" s="1434"/>
      <c r="I22" s="1434"/>
      <c r="J22" s="1434"/>
      <c r="K22" s="1434"/>
      <c r="L22" s="447"/>
      <c r="M22" s="422"/>
      <c r="N22" s="422"/>
    </row>
    <row r="23" spans="1:14" ht="12.75" customHeight="1">
      <c r="A23" s="425"/>
      <c r="B23" s="461"/>
      <c r="C23" s="427"/>
      <c r="D23" s="462"/>
      <c r="E23" s="463"/>
      <c r="F23" s="416"/>
      <c r="G23" s="463" t="s">
        <v>389</v>
      </c>
      <c r="I23" s="464" t="s">
        <v>418</v>
      </c>
      <c r="J23" s="464" t="s">
        <v>418</v>
      </c>
      <c r="K23" s="464" t="s">
        <v>480</v>
      </c>
      <c r="L23" s="447"/>
      <c r="M23" s="422"/>
      <c r="N23" s="422"/>
    </row>
    <row r="24" spans="1:14" ht="12.75" customHeight="1">
      <c r="A24" s="425"/>
      <c r="B24" s="461"/>
      <c r="C24" s="427"/>
      <c r="D24" s="465" t="s">
        <v>298</v>
      </c>
      <c r="E24" s="464" t="s">
        <v>328</v>
      </c>
      <c r="F24" s="416"/>
      <c r="G24" s="464" t="s">
        <v>418</v>
      </c>
      <c r="I24" s="464" t="s">
        <v>318</v>
      </c>
      <c r="J24" s="464" t="s">
        <v>462</v>
      </c>
      <c r="K24" s="464" t="s">
        <v>481</v>
      </c>
      <c r="L24" s="447"/>
      <c r="M24" s="422"/>
      <c r="N24" s="422"/>
    </row>
    <row r="25" spans="1:14" ht="12.75" customHeight="1">
      <c r="A25" s="425">
        <f>+A19+1</f>
        <v>5</v>
      </c>
      <c r="B25" s="461"/>
      <c r="C25" s="427"/>
      <c r="D25" s="466" t="s">
        <v>390</v>
      </c>
      <c r="E25" s="466" t="s">
        <v>299</v>
      </c>
      <c r="F25" s="416"/>
      <c r="G25" s="466" t="s">
        <v>319</v>
      </c>
      <c r="I25" s="466" t="s">
        <v>319</v>
      </c>
      <c r="J25" s="466" t="s">
        <v>319</v>
      </c>
      <c r="K25" s="466" t="s">
        <v>320</v>
      </c>
      <c r="L25" s="447"/>
      <c r="M25" s="422"/>
      <c r="N25" s="422"/>
    </row>
    <row r="26" spans="1:14" ht="12.75">
      <c r="A26" s="425"/>
      <c r="B26" s="425"/>
      <c r="C26" s="427"/>
      <c r="D26" s="448"/>
      <c r="E26" s="430"/>
      <c r="F26" s="430"/>
      <c r="G26" s="421"/>
      <c r="H26" s="429"/>
      <c r="I26" s="421"/>
      <c r="J26" s="153"/>
      <c r="K26" s="467"/>
      <c r="L26" s="447"/>
      <c r="M26" s="422"/>
      <c r="N26" s="422"/>
    </row>
    <row r="27" spans="1:14" ht="12.75">
      <c r="A27" s="425">
        <f>+A25+1</f>
        <v>6</v>
      </c>
      <c r="B27" s="425"/>
      <c r="C27" s="416" t="str">
        <f>"Totals as of December 31, "&amp;TCOS!L2&amp;""</f>
        <v>Totals as of December 31, 2017</v>
      </c>
      <c r="D27" s="468">
        <f>ROUND(D53,0)</f>
        <v>101434</v>
      </c>
      <c r="E27" s="469">
        <f>ROUND(E53,0)</f>
        <v>0</v>
      </c>
      <c r="F27" s="470"/>
      <c r="G27" s="468">
        <f>ROUND(G53,0)</f>
        <v>0</v>
      </c>
      <c r="H27" s="429"/>
      <c r="I27" s="468">
        <f>ROUND(I53,0)</f>
        <v>101434</v>
      </c>
      <c r="J27" s="471">
        <f>+J53</f>
        <v>0</v>
      </c>
      <c r="K27" s="468">
        <f>ROUND(K53,0)</f>
        <v>101434</v>
      </c>
      <c r="L27" s="447"/>
      <c r="M27" s="422"/>
      <c r="N27" s="422"/>
    </row>
    <row r="28" spans="1:14" ht="12.75">
      <c r="A28" s="425">
        <f>+A27+1</f>
        <v>7</v>
      </c>
      <c r="B28" s="425"/>
      <c r="C28" s="416" t="str">
        <f>"Totals as of December 31, "&amp;(TCOS!L2-1)&amp;""</f>
        <v>Totals as of December 31, 2016</v>
      </c>
      <c r="D28" s="472">
        <f>ROUND(D77,0)</f>
        <v>637399</v>
      </c>
      <c r="E28" s="473">
        <f>ROUND(E77,0)</f>
        <v>0</v>
      </c>
      <c r="F28" s="430"/>
      <c r="G28" s="472">
        <f>ROUND(G77,0)</f>
        <v>0</v>
      </c>
      <c r="H28" s="429"/>
      <c r="I28" s="472">
        <f>ROUND(I77,0)</f>
        <v>67348</v>
      </c>
      <c r="J28" s="472">
        <f>+J77</f>
        <v>570051.34</v>
      </c>
      <c r="K28" s="472">
        <f>ROUND(K77,0)</f>
        <v>637399</v>
      </c>
      <c r="L28" s="447"/>
      <c r="M28" s="422"/>
      <c r="N28" s="422"/>
    </row>
    <row r="29" spans="1:14" ht="13.5" thickBot="1">
      <c r="A29" s="425">
        <f>+A28+1</f>
        <v>8</v>
      </c>
      <c r="B29" s="425"/>
      <c r="C29" s="474" t="s">
        <v>506</v>
      </c>
      <c r="D29" s="475">
        <f>IF(D28="",0,(D27+D28)/2)</f>
        <v>369416.5</v>
      </c>
      <c r="E29" s="475">
        <f>IF(E28="",0,(E27+E28)/2)</f>
        <v>0</v>
      </c>
      <c r="F29" s="476"/>
      <c r="G29" s="475">
        <f>IF(G28="",0,(G27+G28)/2)</f>
        <v>0</v>
      </c>
      <c r="H29" s="477"/>
      <c r="I29" s="475">
        <f>IF(I28="",0,(I27+I28)/2)</f>
        <v>84391</v>
      </c>
      <c r="J29" s="475">
        <f>IF(J28="",0,(J27+J28)/2)</f>
        <v>285025.67</v>
      </c>
      <c r="K29" s="475">
        <f>IF(K28="",0,(K27+K28)/2)</f>
        <v>369416.5</v>
      </c>
      <c r="L29" s="447"/>
      <c r="M29" s="422"/>
      <c r="N29" s="422"/>
    </row>
    <row r="30" spans="1:14" ht="13.5" thickTop="1">
      <c r="A30" s="425"/>
      <c r="B30" s="425"/>
      <c r="D30" s="448"/>
      <c r="E30" s="430"/>
      <c r="F30" s="430"/>
      <c r="G30" s="421"/>
      <c r="H30" s="429"/>
      <c r="I30" s="421"/>
      <c r="J30" s="153"/>
      <c r="K30" s="446"/>
      <c r="L30" s="447"/>
      <c r="M30" s="422"/>
      <c r="N30" s="422"/>
    </row>
    <row r="31" spans="1:14" ht="12.75">
      <c r="A31" s="416"/>
      <c r="E31" s="416"/>
      <c r="F31" s="416"/>
      <c r="J31" s="153"/>
      <c r="K31" s="446"/>
      <c r="L31" s="447"/>
      <c r="M31" s="422"/>
      <c r="N31" s="422"/>
    </row>
    <row r="32" spans="1:14" ht="18">
      <c r="A32" s="425"/>
      <c r="B32" s="1439" t="str">
        <f>"Prepayments Account 165 - Balance @ 12/31/"&amp;D34&amp;""</f>
        <v>Prepayments Account 165 - Balance @ 12/31/2017</v>
      </c>
      <c r="C32" s="1440"/>
      <c r="D32" s="1440"/>
      <c r="E32" s="1440"/>
      <c r="F32" s="1440"/>
      <c r="G32" s="1440"/>
      <c r="H32" s="1440"/>
      <c r="I32" s="1440"/>
      <c r="J32" s="1440"/>
      <c r="K32" s="446"/>
      <c r="L32" s="447"/>
      <c r="M32" s="422"/>
      <c r="N32" s="422"/>
    </row>
    <row r="33" spans="1:14" ht="12.75">
      <c r="A33" s="425"/>
      <c r="B33" s="478"/>
      <c r="C33" s="479"/>
      <c r="D33" s="462"/>
      <c r="E33" s="463"/>
      <c r="F33" s="416"/>
      <c r="G33" s="463" t="s">
        <v>389</v>
      </c>
      <c r="I33" s="464" t="s">
        <v>418</v>
      </c>
      <c r="J33" s="464" t="s">
        <v>418</v>
      </c>
      <c r="K33" s="464" t="s">
        <v>480</v>
      </c>
      <c r="L33" s="169"/>
      <c r="M33" s="422"/>
      <c r="N33" s="422"/>
    </row>
    <row r="34" spans="1:14" ht="12.75">
      <c r="A34" s="425"/>
      <c r="B34" s="478"/>
      <c r="C34" s="480"/>
      <c r="D34" s="465" t="str">
        <f>""&amp;TCOS!L2</f>
        <v>2017</v>
      </c>
      <c r="E34" s="464" t="s">
        <v>328</v>
      </c>
      <c r="F34" s="416"/>
      <c r="G34" s="464" t="s">
        <v>418</v>
      </c>
      <c r="I34" s="464" t="s">
        <v>318</v>
      </c>
      <c r="J34" s="464" t="s">
        <v>462</v>
      </c>
      <c r="K34" s="464" t="s">
        <v>481</v>
      </c>
      <c r="L34" s="169"/>
      <c r="M34" s="422"/>
      <c r="N34" s="422"/>
    </row>
    <row r="35" spans="1:14" ht="12.75">
      <c r="A35" s="425">
        <f>+A29+1</f>
        <v>9</v>
      </c>
      <c r="B35" s="466" t="s">
        <v>392</v>
      </c>
      <c r="C35" s="466" t="s">
        <v>468</v>
      </c>
      <c r="D35" s="466" t="s">
        <v>390</v>
      </c>
      <c r="E35" s="466" t="s">
        <v>299</v>
      </c>
      <c r="F35" s="416"/>
      <c r="G35" s="466" t="s">
        <v>319</v>
      </c>
      <c r="I35" s="466" t="s">
        <v>319</v>
      </c>
      <c r="J35" s="466" t="s">
        <v>319</v>
      </c>
      <c r="K35" s="466" t="s">
        <v>320</v>
      </c>
      <c r="L35" s="466" t="s">
        <v>374</v>
      </c>
      <c r="M35" s="422"/>
      <c r="N35" s="422"/>
    </row>
    <row r="36" spans="1:14" ht="12.75">
      <c r="A36" s="425"/>
      <c r="B36" s="478"/>
      <c r="C36" s="479"/>
      <c r="D36" s="479"/>
      <c r="E36" s="479"/>
      <c r="F36" s="416"/>
      <c r="G36" s="479"/>
      <c r="I36" s="479"/>
      <c r="J36" s="479"/>
      <c r="K36" s="467"/>
      <c r="L36" s="169"/>
      <c r="M36" s="422"/>
      <c r="N36" s="422"/>
    </row>
    <row r="37" spans="1:14" ht="14.25">
      <c r="A37" s="425">
        <f>+A35+1</f>
        <v>10</v>
      </c>
      <c r="B37" s="1333" t="s">
        <v>878</v>
      </c>
      <c r="C37" s="1335" t="s">
        <v>817</v>
      </c>
      <c r="D37" s="1336">
        <v>72056</v>
      </c>
      <c r="E37" s="481">
        <f aca="true" t="shared" si="0" ref="E37:E51">+D37-K37</f>
        <v>0</v>
      </c>
      <c r="F37" s="416"/>
      <c r="G37" s="482"/>
      <c r="I37" s="482">
        <f>+D37</f>
        <v>72056</v>
      </c>
      <c r="J37" s="482"/>
      <c r="K37" s="482">
        <f>+G37+I37+J37</f>
        <v>72056</v>
      </c>
      <c r="L37" s="169" t="s">
        <v>905</v>
      </c>
      <c r="M37" s="422"/>
      <c r="N37" s="422"/>
    </row>
    <row r="38" spans="1:14" ht="14.25">
      <c r="A38" s="425">
        <f>+A37+1</f>
        <v>11</v>
      </c>
      <c r="B38" s="1334" t="s">
        <v>879</v>
      </c>
      <c r="C38" s="1335" t="s">
        <v>880</v>
      </c>
      <c r="D38" s="1336">
        <v>0</v>
      </c>
      <c r="E38" s="481">
        <f t="shared" si="0"/>
        <v>0</v>
      </c>
      <c r="F38" s="416"/>
      <c r="G38" s="482"/>
      <c r="I38" s="482">
        <f>+D38</f>
        <v>0</v>
      </c>
      <c r="J38" s="482"/>
      <c r="K38" s="482">
        <f aca="true" t="shared" si="1" ref="K38:K52">+G38+I38+J38</f>
        <v>0</v>
      </c>
      <c r="L38" s="169"/>
      <c r="M38" s="422"/>
      <c r="N38" s="422"/>
    </row>
    <row r="39" spans="1:14" ht="14.25">
      <c r="A39" s="425">
        <f aca="true" t="shared" si="2" ref="A39:A52">+A38+1</f>
        <v>12</v>
      </c>
      <c r="B39" s="1333" t="s">
        <v>884</v>
      </c>
      <c r="C39" s="1335" t="s">
        <v>819</v>
      </c>
      <c r="D39" s="1336">
        <v>0</v>
      </c>
      <c r="E39" s="481">
        <f t="shared" si="0"/>
        <v>0</v>
      </c>
      <c r="F39" s="416"/>
      <c r="G39" s="482"/>
      <c r="I39" s="482">
        <f>+D39</f>
        <v>0</v>
      </c>
      <c r="J39" s="482"/>
      <c r="K39" s="482">
        <f t="shared" si="1"/>
        <v>0</v>
      </c>
      <c r="L39" s="169"/>
      <c r="M39" s="422"/>
      <c r="N39" s="422"/>
    </row>
    <row r="40" spans="1:14" ht="14.25">
      <c r="A40" s="425">
        <f t="shared" si="2"/>
        <v>13</v>
      </c>
      <c r="B40" s="1333" t="s">
        <v>885</v>
      </c>
      <c r="C40" s="1335" t="s">
        <v>820</v>
      </c>
      <c r="D40" s="1336">
        <v>0</v>
      </c>
      <c r="E40" s="481">
        <f t="shared" si="0"/>
        <v>0</v>
      </c>
      <c r="F40" s="416"/>
      <c r="G40" s="482"/>
      <c r="I40" s="482">
        <f aca="true" t="shared" si="3" ref="I40:I47">+D40</f>
        <v>0</v>
      </c>
      <c r="J40" s="482"/>
      <c r="K40" s="482">
        <f t="shared" si="1"/>
        <v>0</v>
      </c>
      <c r="L40" s="169"/>
      <c r="M40" s="422"/>
      <c r="N40" s="422"/>
    </row>
    <row r="41" spans="1:14" ht="14.25">
      <c r="A41" s="425">
        <f t="shared" si="2"/>
        <v>14</v>
      </c>
      <c r="B41" s="1333" t="s">
        <v>894</v>
      </c>
      <c r="C41" s="1335" t="s">
        <v>895</v>
      </c>
      <c r="D41" s="1336">
        <v>0</v>
      </c>
      <c r="E41" s="481">
        <f t="shared" si="0"/>
        <v>0</v>
      </c>
      <c r="F41" s="416"/>
      <c r="G41" s="482"/>
      <c r="I41" s="482">
        <f t="shared" si="3"/>
        <v>0</v>
      </c>
      <c r="J41" s="482"/>
      <c r="K41" s="482">
        <f t="shared" si="1"/>
        <v>0</v>
      </c>
      <c r="L41" s="387"/>
      <c r="M41" s="422"/>
      <c r="N41" s="422"/>
    </row>
    <row r="42" spans="1:14" ht="14.25">
      <c r="A42" s="425">
        <f t="shared" si="2"/>
        <v>15</v>
      </c>
      <c r="B42" s="1333" t="s">
        <v>881</v>
      </c>
      <c r="C42" s="1335" t="s">
        <v>821</v>
      </c>
      <c r="D42" s="1336">
        <v>0</v>
      </c>
      <c r="E42" s="481">
        <f t="shared" si="0"/>
        <v>0</v>
      </c>
      <c r="F42" s="416"/>
      <c r="G42" s="482"/>
      <c r="I42" s="482">
        <f t="shared" si="3"/>
        <v>0</v>
      </c>
      <c r="J42" s="482"/>
      <c r="K42" s="482">
        <f t="shared" si="1"/>
        <v>0</v>
      </c>
      <c r="L42" s="387"/>
      <c r="M42" s="422"/>
      <c r="N42" s="422"/>
    </row>
    <row r="43" spans="1:14" ht="14.25">
      <c r="A43" s="425">
        <f t="shared" si="2"/>
        <v>16</v>
      </c>
      <c r="B43" s="1333" t="s">
        <v>896</v>
      </c>
      <c r="C43" s="1335" t="s">
        <v>897</v>
      </c>
      <c r="D43" s="1336">
        <v>0</v>
      </c>
      <c r="E43" s="481">
        <f t="shared" si="0"/>
        <v>0</v>
      </c>
      <c r="F43" s="416"/>
      <c r="G43" s="483"/>
      <c r="I43" s="482">
        <f t="shared" si="3"/>
        <v>0</v>
      </c>
      <c r="J43" s="483"/>
      <c r="K43" s="483">
        <f t="shared" si="1"/>
        <v>0</v>
      </c>
      <c r="L43" s="387"/>
      <c r="M43" s="422"/>
      <c r="N43" s="422"/>
    </row>
    <row r="44" spans="1:14" ht="14.25">
      <c r="A44" s="425">
        <f t="shared" si="2"/>
        <v>17</v>
      </c>
      <c r="B44" s="1333" t="s">
        <v>886</v>
      </c>
      <c r="C44" s="1335" t="s">
        <v>822</v>
      </c>
      <c r="D44" s="1336">
        <v>0</v>
      </c>
      <c r="E44" s="481">
        <f t="shared" si="0"/>
        <v>0</v>
      </c>
      <c r="F44" s="416"/>
      <c r="G44" s="482"/>
      <c r="I44" s="482">
        <f t="shared" si="3"/>
        <v>0</v>
      </c>
      <c r="J44" s="482"/>
      <c r="K44" s="483">
        <f t="shared" si="1"/>
        <v>0</v>
      </c>
      <c r="L44" s="341"/>
      <c r="M44" s="422"/>
      <c r="N44" s="422"/>
    </row>
    <row r="45" spans="1:14" ht="14.25">
      <c r="A45" s="425">
        <f t="shared" si="2"/>
        <v>18</v>
      </c>
      <c r="B45" s="1333" t="s">
        <v>887</v>
      </c>
      <c r="C45" s="1335" t="s">
        <v>823</v>
      </c>
      <c r="D45" s="1336">
        <v>0</v>
      </c>
      <c r="E45" s="481">
        <f t="shared" si="0"/>
        <v>0</v>
      </c>
      <c r="F45" s="416"/>
      <c r="G45" s="482"/>
      <c r="I45" s="482">
        <f t="shared" si="3"/>
        <v>0</v>
      </c>
      <c r="J45" s="482"/>
      <c r="K45" s="483">
        <f t="shared" si="1"/>
        <v>0</v>
      </c>
      <c r="L45" s="387"/>
      <c r="M45" s="422"/>
      <c r="N45" s="422"/>
    </row>
    <row r="46" spans="1:14" ht="14.25">
      <c r="A46" s="425">
        <f t="shared" si="2"/>
        <v>19</v>
      </c>
      <c r="B46" s="1333" t="s">
        <v>888</v>
      </c>
      <c r="C46" s="1335" t="s">
        <v>824</v>
      </c>
      <c r="D46" s="1336">
        <v>0</v>
      </c>
      <c r="E46" s="481">
        <f t="shared" si="0"/>
        <v>0</v>
      </c>
      <c r="F46" s="416"/>
      <c r="G46" s="482"/>
      <c r="I46" s="482">
        <f t="shared" si="3"/>
        <v>0</v>
      </c>
      <c r="J46" s="482"/>
      <c r="K46" s="483">
        <f t="shared" si="1"/>
        <v>0</v>
      </c>
      <c r="L46" s="387"/>
      <c r="M46" s="422"/>
      <c r="N46" s="422"/>
    </row>
    <row r="47" spans="1:14" ht="14.25">
      <c r="A47" s="425">
        <f t="shared" si="2"/>
        <v>20</v>
      </c>
      <c r="B47" s="1334" t="s">
        <v>882</v>
      </c>
      <c r="C47" s="1335" t="s">
        <v>898</v>
      </c>
      <c r="D47" s="1336">
        <v>26260</v>
      </c>
      <c r="E47" s="481">
        <f t="shared" si="0"/>
        <v>0</v>
      </c>
      <c r="F47" s="416"/>
      <c r="G47" s="482"/>
      <c r="I47" s="482">
        <f t="shared" si="3"/>
        <v>26260</v>
      </c>
      <c r="J47" s="484"/>
      <c r="K47" s="483">
        <f>+G47+I47+J47</f>
        <v>26260</v>
      </c>
      <c r="L47" s="169" t="s">
        <v>905</v>
      </c>
      <c r="M47" s="422"/>
      <c r="N47" s="422"/>
    </row>
    <row r="48" spans="1:14" ht="14.25">
      <c r="A48" s="425">
        <f t="shared" si="2"/>
        <v>21</v>
      </c>
      <c r="B48" s="1334" t="s">
        <v>883</v>
      </c>
      <c r="C48" s="1335" t="s">
        <v>818</v>
      </c>
      <c r="D48" s="1336">
        <v>3118</v>
      </c>
      <c r="E48" s="481">
        <f t="shared" si="0"/>
        <v>0</v>
      </c>
      <c r="F48" s="416"/>
      <c r="G48" s="482"/>
      <c r="I48" s="482">
        <f>D48</f>
        <v>3118</v>
      </c>
      <c r="J48" s="484">
        <v>0</v>
      </c>
      <c r="K48" s="483">
        <f>+G48+I48+J48</f>
        <v>3118</v>
      </c>
      <c r="L48" s="169" t="s">
        <v>906</v>
      </c>
      <c r="M48" s="422"/>
      <c r="N48" s="422"/>
    </row>
    <row r="49" spans="1:14" ht="14.25">
      <c r="A49" s="425">
        <f t="shared" si="2"/>
        <v>22</v>
      </c>
      <c r="B49" s="1334" t="s">
        <v>899</v>
      </c>
      <c r="C49" s="1335" t="s">
        <v>825</v>
      </c>
      <c r="D49" s="1336">
        <v>0</v>
      </c>
      <c r="E49" s="481">
        <f t="shared" si="0"/>
        <v>0</v>
      </c>
      <c r="F49" s="416"/>
      <c r="G49" s="482"/>
      <c r="I49" s="482"/>
      <c r="J49" s="484">
        <f>D49</f>
        <v>0</v>
      </c>
      <c r="K49" s="483">
        <f>+G49+I49+J49</f>
        <v>0</v>
      </c>
      <c r="L49" s="387"/>
      <c r="M49" s="422"/>
      <c r="N49" s="422"/>
    </row>
    <row r="50" spans="1:14" ht="14.25">
      <c r="A50" s="425">
        <f t="shared" si="2"/>
        <v>23</v>
      </c>
      <c r="B50" s="1334" t="s">
        <v>900</v>
      </c>
      <c r="C50" s="1335" t="s">
        <v>901</v>
      </c>
      <c r="D50" s="1336">
        <v>0</v>
      </c>
      <c r="E50" s="481">
        <f t="shared" si="0"/>
        <v>0</v>
      </c>
      <c r="F50" s="416"/>
      <c r="G50" s="482"/>
      <c r="I50" s="482"/>
      <c r="J50" s="484">
        <f>D50</f>
        <v>0</v>
      </c>
      <c r="K50" s="483">
        <f>+G50+I50+J50</f>
        <v>0</v>
      </c>
      <c r="L50" s="387"/>
      <c r="M50" s="422"/>
      <c r="N50" s="422"/>
    </row>
    <row r="51" spans="1:14" ht="14.25">
      <c r="A51" s="425">
        <f t="shared" si="2"/>
        <v>24</v>
      </c>
      <c r="B51" s="1334" t="s">
        <v>902</v>
      </c>
      <c r="C51" s="1335" t="s">
        <v>826</v>
      </c>
      <c r="D51" s="1336">
        <v>0</v>
      </c>
      <c r="E51" s="481">
        <f t="shared" si="0"/>
        <v>0</v>
      </c>
      <c r="F51" s="416"/>
      <c r="G51" s="482"/>
      <c r="I51" s="482"/>
      <c r="J51" s="484">
        <f>D51</f>
        <v>0</v>
      </c>
      <c r="K51" s="483">
        <f t="shared" si="1"/>
        <v>0</v>
      </c>
      <c r="L51" s="387"/>
      <c r="M51" s="422"/>
      <c r="N51" s="422"/>
    </row>
    <row r="52" spans="1:14" ht="15" thickBot="1">
      <c r="A52" s="425">
        <f t="shared" si="2"/>
        <v>25</v>
      </c>
      <c r="B52" s="1334" t="s">
        <v>903</v>
      </c>
      <c r="C52" s="1335" t="s">
        <v>904</v>
      </c>
      <c r="D52" s="1336">
        <v>0</v>
      </c>
      <c r="E52" s="481"/>
      <c r="F52" s="416"/>
      <c r="G52" s="482"/>
      <c r="I52" s="482"/>
      <c r="J52" s="482">
        <f>D52</f>
        <v>0</v>
      </c>
      <c r="K52" s="483">
        <f t="shared" si="1"/>
        <v>0</v>
      </c>
      <c r="L52" s="387"/>
      <c r="M52" s="422"/>
      <c r="N52" s="422"/>
    </row>
    <row r="53" spans="1:14" ht="12.75">
      <c r="A53" s="425"/>
      <c r="B53" s="478"/>
      <c r="C53" s="485" t="s">
        <v>300</v>
      </c>
      <c r="D53" s="486">
        <f>SUM(D37:D52)</f>
        <v>101434</v>
      </c>
      <c r="E53" s="487">
        <f>SUM(E37:E52)</f>
        <v>0</v>
      </c>
      <c r="F53" s="416"/>
      <c r="G53" s="486">
        <f>SUM(G37:G52)</f>
        <v>0</v>
      </c>
      <c r="I53" s="486">
        <f>SUM(I37:I52)</f>
        <v>101434</v>
      </c>
      <c r="J53" s="486">
        <f>SUM(J37:J52)</f>
        <v>0</v>
      </c>
      <c r="K53" s="486">
        <f>SUM(K37:K52)</f>
        <v>101434</v>
      </c>
      <c r="L53" s="169"/>
      <c r="M53" s="422"/>
      <c r="N53" s="422"/>
    </row>
    <row r="54" spans="1:14" ht="12.75">
      <c r="A54" s="425"/>
      <c r="D54" s="488" t="s">
        <v>417</v>
      </c>
      <c r="K54" s="489"/>
      <c r="L54" s="169"/>
      <c r="M54" s="422"/>
      <c r="N54" s="422"/>
    </row>
    <row r="55" spans="1:15" ht="12.75">
      <c r="A55" s="425"/>
      <c r="B55" s="169"/>
      <c r="C55" s="169"/>
      <c r="D55" s="169"/>
      <c r="E55" s="169"/>
      <c r="F55" s="169"/>
      <c r="G55" s="169"/>
      <c r="H55" s="169"/>
      <c r="I55" s="169"/>
      <c r="J55" s="169"/>
      <c r="K55" s="169"/>
      <c r="L55" s="169"/>
      <c r="M55" s="422"/>
      <c r="N55" s="422"/>
      <c r="O55" s="169"/>
    </row>
    <row r="56" spans="1:15" ht="18">
      <c r="A56" s="425"/>
      <c r="B56" s="1439" t="str">
        <f>"Prepayments Account 165 - Balance @ 12/31/ "&amp;D58&amp;""</f>
        <v>Prepayments Account 165 - Balance @ 12/31/ 2016</v>
      </c>
      <c r="C56" s="1439"/>
      <c r="D56" s="1439"/>
      <c r="E56" s="1439"/>
      <c r="F56" s="1439"/>
      <c r="G56" s="1439"/>
      <c r="H56" s="1439"/>
      <c r="I56" s="1439"/>
      <c r="J56" s="1439"/>
      <c r="K56" s="446"/>
      <c r="L56" s="447"/>
      <c r="M56" s="422"/>
      <c r="N56" s="422"/>
      <c r="O56" s="169"/>
    </row>
    <row r="57" spans="1:15" ht="12.75">
      <c r="A57" s="425"/>
      <c r="B57" s="490"/>
      <c r="C57" s="491"/>
      <c r="D57" s="492"/>
      <c r="E57" s="463"/>
      <c r="F57" s="416"/>
      <c r="G57" s="463" t="s">
        <v>389</v>
      </c>
      <c r="I57" s="464" t="s">
        <v>418</v>
      </c>
      <c r="J57" s="464" t="s">
        <v>418</v>
      </c>
      <c r="K57" s="464" t="s">
        <v>480</v>
      </c>
      <c r="L57" s="169"/>
      <c r="M57" s="422"/>
      <c r="N57" s="422"/>
      <c r="O57" s="169"/>
    </row>
    <row r="58" spans="1:15" ht="12.75">
      <c r="A58" s="425"/>
      <c r="B58" s="490"/>
      <c r="C58" s="493"/>
      <c r="D58" s="464" t="str">
        <f>""&amp;TCOS!L2-1&amp;""</f>
        <v>2016</v>
      </c>
      <c r="E58" s="464" t="s">
        <v>328</v>
      </c>
      <c r="F58" s="416"/>
      <c r="G58" s="464" t="s">
        <v>418</v>
      </c>
      <c r="I58" s="464" t="s">
        <v>318</v>
      </c>
      <c r="J58" s="464" t="s">
        <v>462</v>
      </c>
      <c r="K58" s="464" t="s">
        <v>481</v>
      </c>
      <c r="L58" s="169"/>
      <c r="M58" s="422"/>
      <c r="N58" s="422"/>
      <c r="O58" s="169"/>
    </row>
    <row r="59" spans="1:15" ht="12.75">
      <c r="A59" s="425">
        <f>A52+1</f>
        <v>26</v>
      </c>
      <c r="B59" s="466" t="s">
        <v>392</v>
      </c>
      <c r="C59" s="466" t="s">
        <v>468</v>
      </c>
      <c r="D59" s="466" t="s">
        <v>390</v>
      </c>
      <c r="E59" s="466" t="s">
        <v>299</v>
      </c>
      <c r="F59" s="416"/>
      <c r="G59" s="466" t="s">
        <v>319</v>
      </c>
      <c r="I59" s="466" t="s">
        <v>319</v>
      </c>
      <c r="J59" s="466" t="s">
        <v>319</v>
      </c>
      <c r="K59" s="466" t="s">
        <v>320</v>
      </c>
      <c r="L59" s="466" t="s">
        <v>374</v>
      </c>
      <c r="M59" s="422"/>
      <c r="N59" s="422"/>
      <c r="O59" s="169"/>
    </row>
    <row r="60" spans="1:15" ht="12.75">
      <c r="A60" s="425"/>
      <c r="B60" s="478"/>
      <c r="C60" s="479"/>
      <c r="D60" s="479"/>
      <c r="E60" s="479"/>
      <c r="F60" s="416"/>
      <c r="G60" s="479"/>
      <c r="I60" s="479"/>
      <c r="J60" s="479"/>
      <c r="K60" s="479"/>
      <c r="L60" s="169"/>
      <c r="M60" s="422"/>
      <c r="N60" s="422"/>
      <c r="O60" s="169"/>
    </row>
    <row r="61" spans="1:15" ht="12.75">
      <c r="A61" s="425">
        <f>+A59+1</f>
        <v>27</v>
      </c>
      <c r="B61" s="12" t="s">
        <v>878</v>
      </c>
      <c r="C61" s="1337" t="s">
        <v>817</v>
      </c>
      <c r="D61" s="1338">
        <v>47798.9</v>
      </c>
      <c r="E61" s="169"/>
      <c r="F61" s="169"/>
      <c r="G61" s="169"/>
      <c r="H61" s="169"/>
      <c r="I61" s="494">
        <f>+D61</f>
        <v>47798.9</v>
      </c>
      <c r="J61" s="169"/>
      <c r="K61" s="482">
        <f aca="true" t="shared" si="4" ref="K61:K76">+G61+I61+J61</f>
        <v>47798.9</v>
      </c>
      <c r="L61" s="169" t="s">
        <v>905</v>
      </c>
      <c r="M61" s="422"/>
      <c r="N61" s="422"/>
      <c r="O61" s="169"/>
    </row>
    <row r="62" spans="1:15" ht="12.75">
      <c r="A62" s="425">
        <f>+A61+1</f>
        <v>28</v>
      </c>
      <c r="B62" s="1339" t="s">
        <v>889</v>
      </c>
      <c r="C62" s="1337" t="s">
        <v>880</v>
      </c>
      <c r="D62" s="1338">
        <v>0</v>
      </c>
      <c r="E62" s="481">
        <v>0</v>
      </c>
      <c r="F62" s="416"/>
      <c r="G62" s="482"/>
      <c r="I62" s="482"/>
      <c r="J62" s="482"/>
      <c r="K62" s="482">
        <f t="shared" si="4"/>
        <v>0</v>
      </c>
      <c r="L62" s="169"/>
      <c r="M62" s="422"/>
      <c r="N62" s="422"/>
      <c r="O62" s="169"/>
    </row>
    <row r="63" spans="1:15" ht="12.75">
      <c r="A63" s="425">
        <f aca="true" t="shared" si="5" ref="A63:A76">+A62+1</f>
        <v>29</v>
      </c>
      <c r="B63" s="12" t="s">
        <v>884</v>
      </c>
      <c r="C63" s="1337" t="s">
        <v>819</v>
      </c>
      <c r="D63" s="1338">
        <v>0</v>
      </c>
      <c r="E63" s="481">
        <v>0</v>
      </c>
      <c r="F63" s="416"/>
      <c r="G63" s="482"/>
      <c r="I63" s="494"/>
      <c r="J63" s="482"/>
      <c r="K63" s="482">
        <f t="shared" si="4"/>
        <v>0</v>
      </c>
      <c r="L63" s="169"/>
      <c r="M63" s="422"/>
      <c r="N63" s="422"/>
      <c r="O63" s="169"/>
    </row>
    <row r="64" spans="1:15" ht="12.75">
      <c r="A64" s="425">
        <f t="shared" si="5"/>
        <v>30</v>
      </c>
      <c r="B64" s="12" t="s">
        <v>885</v>
      </c>
      <c r="C64" s="1337" t="s">
        <v>820</v>
      </c>
      <c r="D64" s="1338">
        <v>0</v>
      </c>
      <c r="E64" s="481">
        <v>0</v>
      </c>
      <c r="F64" s="416"/>
      <c r="G64" s="482"/>
      <c r="I64" s="494"/>
      <c r="J64" s="482"/>
      <c r="K64" s="482">
        <f t="shared" si="4"/>
        <v>0</v>
      </c>
      <c r="L64" s="169"/>
      <c r="M64" s="422"/>
      <c r="N64" s="422"/>
      <c r="O64" s="169"/>
    </row>
    <row r="65" spans="1:15" ht="12.75">
      <c r="A65" s="425">
        <f t="shared" si="5"/>
        <v>31</v>
      </c>
      <c r="B65" s="12" t="s">
        <v>894</v>
      </c>
      <c r="C65" s="1337" t="s">
        <v>895</v>
      </c>
      <c r="D65" s="1338">
        <v>0</v>
      </c>
      <c r="E65" s="481">
        <v>0</v>
      </c>
      <c r="F65" s="416"/>
      <c r="G65" s="482"/>
      <c r="I65" s="494"/>
      <c r="J65" s="482"/>
      <c r="K65" s="482">
        <f t="shared" si="4"/>
        <v>0</v>
      </c>
      <c r="L65" s="387"/>
      <c r="M65" s="422"/>
      <c r="N65" s="422"/>
      <c r="O65" s="169"/>
    </row>
    <row r="66" spans="1:15" ht="12.75">
      <c r="A66" s="425">
        <f t="shared" si="5"/>
        <v>32</v>
      </c>
      <c r="B66" s="12" t="s">
        <v>881</v>
      </c>
      <c r="C66" s="1337" t="s">
        <v>821</v>
      </c>
      <c r="D66" s="1338">
        <v>0</v>
      </c>
      <c r="E66" s="482">
        <v>0</v>
      </c>
      <c r="F66" s="416"/>
      <c r="G66" s="482"/>
      <c r="I66" s="494"/>
      <c r="J66" s="482"/>
      <c r="K66" s="482">
        <f t="shared" si="4"/>
        <v>0</v>
      </c>
      <c r="L66" s="387"/>
      <c r="M66" s="422"/>
      <c r="N66" s="422"/>
      <c r="O66" s="169"/>
    </row>
    <row r="67" spans="1:15" ht="12.75">
      <c r="A67" s="425">
        <f t="shared" si="5"/>
        <v>33</v>
      </c>
      <c r="B67" s="12" t="s">
        <v>896</v>
      </c>
      <c r="C67" s="1337" t="s">
        <v>897</v>
      </c>
      <c r="D67" s="1338">
        <v>0</v>
      </c>
      <c r="E67" s="483">
        <v>0</v>
      </c>
      <c r="F67" s="416"/>
      <c r="G67" s="483"/>
      <c r="I67" s="494"/>
      <c r="J67" s="483"/>
      <c r="K67" s="483">
        <f t="shared" si="4"/>
        <v>0</v>
      </c>
      <c r="L67" s="387"/>
      <c r="M67" s="422"/>
      <c r="N67" s="422"/>
      <c r="O67" s="169"/>
    </row>
    <row r="68" spans="1:15" ht="12.75">
      <c r="A68" s="425">
        <f t="shared" si="5"/>
        <v>34</v>
      </c>
      <c r="B68" s="12" t="s">
        <v>886</v>
      </c>
      <c r="C68" s="1337" t="s">
        <v>822</v>
      </c>
      <c r="D68" s="1338">
        <v>0</v>
      </c>
      <c r="E68" s="482">
        <v>0</v>
      </c>
      <c r="F68" s="416"/>
      <c r="G68" s="482"/>
      <c r="I68" s="494"/>
      <c r="J68" s="482"/>
      <c r="K68" s="483">
        <f t="shared" si="4"/>
        <v>0</v>
      </c>
      <c r="L68" s="341"/>
      <c r="M68" s="422"/>
      <c r="N68" s="422"/>
      <c r="O68" s="169"/>
    </row>
    <row r="69" spans="1:15" ht="12.75">
      <c r="A69" s="425">
        <f t="shared" si="5"/>
        <v>35</v>
      </c>
      <c r="B69" s="12" t="s">
        <v>887</v>
      </c>
      <c r="C69" s="1337" t="s">
        <v>823</v>
      </c>
      <c r="D69" s="1338">
        <v>0</v>
      </c>
      <c r="E69" s="482">
        <v>0</v>
      </c>
      <c r="F69" s="416"/>
      <c r="G69" s="482"/>
      <c r="I69" s="494"/>
      <c r="J69" s="482"/>
      <c r="K69" s="483">
        <f t="shared" si="4"/>
        <v>0</v>
      </c>
      <c r="L69" s="387"/>
      <c r="M69" s="422"/>
      <c r="N69" s="422"/>
      <c r="O69" s="169"/>
    </row>
    <row r="70" spans="1:15" ht="12.75">
      <c r="A70" s="425">
        <f>+A67+1</f>
        <v>34</v>
      </c>
      <c r="B70" s="12" t="s">
        <v>888</v>
      </c>
      <c r="C70" s="1337" t="s">
        <v>824</v>
      </c>
      <c r="D70" s="1338">
        <v>0</v>
      </c>
      <c r="E70" s="482">
        <v>0</v>
      </c>
      <c r="F70" s="416"/>
      <c r="G70" s="482"/>
      <c r="I70" s="494"/>
      <c r="J70" s="482"/>
      <c r="K70" s="483">
        <f>+G70+I70+J70</f>
        <v>0</v>
      </c>
      <c r="L70" s="387"/>
      <c r="M70" s="422"/>
      <c r="N70" s="422"/>
      <c r="O70" s="169"/>
    </row>
    <row r="71" spans="1:15" ht="12.75">
      <c r="A71" s="425">
        <f t="shared" si="5"/>
        <v>35</v>
      </c>
      <c r="B71" s="1339" t="s">
        <v>882</v>
      </c>
      <c r="C71" s="1337" t="s">
        <v>898</v>
      </c>
      <c r="D71" s="1338">
        <v>15382.43</v>
      </c>
      <c r="E71" s="482">
        <v>0</v>
      </c>
      <c r="F71" s="416"/>
      <c r="G71" s="482"/>
      <c r="I71" s="494">
        <f>+D71</f>
        <v>15382.43</v>
      </c>
      <c r="J71" s="484"/>
      <c r="K71" s="483">
        <f>+G71+I71+J71</f>
        <v>15382.43</v>
      </c>
      <c r="L71" s="169" t="s">
        <v>905</v>
      </c>
      <c r="M71" s="422"/>
      <c r="N71" s="422"/>
      <c r="O71" s="169"/>
    </row>
    <row r="72" spans="1:15" ht="12.75">
      <c r="A72" s="425">
        <f t="shared" si="5"/>
        <v>36</v>
      </c>
      <c r="B72" s="1339" t="s">
        <v>883</v>
      </c>
      <c r="C72" s="1337" t="s">
        <v>818</v>
      </c>
      <c r="D72" s="1338">
        <v>4166.63</v>
      </c>
      <c r="E72" s="481">
        <v>0</v>
      </c>
      <c r="F72" s="416"/>
      <c r="G72" s="482"/>
      <c r="I72" s="494">
        <f>+D72</f>
        <v>4166.63</v>
      </c>
      <c r="J72" s="484"/>
      <c r="K72" s="483">
        <f>+G72+I72+J72</f>
        <v>4166.63</v>
      </c>
      <c r="L72" s="169" t="s">
        <v>906</v>
      </c>
      <c r="M72" s="422"/>
      <c r="N72" s="422"/>
      <c r="O72" s="169"/>
    </row>
    <row r="73" spans="1:15" ht="12.75">
      <c r="A73" s="425">
        <f t="shared" si="5"/>
        <v>37</v>
      </c>
      <c r="B73" s="1339" t="s">
        <v>899</v>
      </c>
      <c r="C73" s="1337" t="s">
        <v>825</v>
      </c>
      <c r="D73" s="1338">
        <v>65314.04</v>
      </c>
      <c r="E73" s="481">
        <f>+D73-K73</f>
        <v>0</v>
      </c>
      <c r="F73" s="416"/>
      <c r="G73" s="482"/>
      <c r="I73" s="482"/>
      <c r="J73" s="484">
        <f>D73</f>
        <v>65314.04</v>
      </c>
      <c r="K73" s="483">
        <f>+G73+I73+J73</f>
        <v>65314.04</v>
      </c>
      <c r="L73" s="387" t="s">
        <v>907</v>
      </c>
      <c r="M73" s="422"/>
      <c r="N73" s="422"/>
      <c r="O73" s="169"/>
    </row>
    <row r="74" spans="1:15" ht="12.75">
      <c r="A74" s="425">
        <f t="shared" si="5"/>
        <v>38</v>
      </c>
      <c r="B74" s="1339" t="s">
        <v>900</v>
      </c>
      <c r="C74" s="1337" t="s">
        <v>901</v>
      </c>
      <c r="D74" s="1338">
        <v>204164.38</v>
      </c>
      <c r="E74" s="481">
        <f>+D74-K74</f>
        <v>0</v>
      </c>
      <c r="F74" s="416"/>
      <c r="G74" s="482"/>
      <c r="I74" s="482"/>
      <c r="J74" s="484">
        <f>D74</f>
        <v>204164.38</v>
      </c>
      <c r="K74" s="483">
        <f t="shared" si="4"/>
        <v>204164.38</v>
      </c>
      <c r="L74" s="387" t="s">
        <v>907</v>
      </c>
      <c r="M74" s="422"/>
      <c r="N74" s="422"/>
      <c r="O74" s="169"/>
    </row>
    <row r="75" spans="1:15" ht="12.75">
      <c r="A75" s="425">
        <f t="shared" si="5"/>
        <v>39</v>
      </c>
      <c r="B75" s="1339" t="s">
        <v>902</v>
      </c>
      <c r="C75" s="1337" t="s">
        <v>826</v>
      </c>
      <c r="D75" s="1338">
        <v>77551.45</v>
      </c>
      <c r="E75" s="481">
        <f>+D75-K75</f>
        <v>0</v>
      </c>
      <c r="F75" s="416"/>
      <c r="G75" s="482"/>
      <c r="I75" s="482"/>
      <c r="J75" s="484">
        <f>D75</f>
        <v>77551.45</v>
      </c>
      <c r="K75" s="483">
        <f t="shared" si="4"/>
        <v>77551.45</v>
      </c>
      <c r="L75" s="387" t="s">
        <v>907</v>
      </c>
      <c r="M75" s="422"/>
      <c r="N75" s="422"/>
      <c r="O75" s="169"/>
    </row>
    <row r="76" spans="1:15" ht="13.5" thickBot="1">
      <c r="A76" s="425">
        <f t="shared" si="5"/>
        <v>40</v>
      </c>
      <c r="B76" s="1339" t="s">
        <v>903</v>
      </c>
      <c r="C76" s="1337" t="s">
        <v>904</v>
      </c>
      <c r="D76" s="1338">
        <v>223021.47</v>
      </c>
      <c r="E76" s="481"/>
      <c r="F76" s="416"/>
      <c r="G76" s="482"/>
      <c r="I76" s="482"/>
      <c r="J76" s="482">
        <f>D76</f>
        <v>223021.47</v>
      </c>
      <c r="K76" s="483">
        <f t="shared" si="4"/>
        <v>223021.47</v>
      </c>
      <c r="L76" s="387" t="s">
        <v>907</v>
      </c>
      <c r="M76" s="422"/>
      <c r="N76" s="422"/>
      <c r="O76" s="169"/>
    </row>
    <row r="77" spans="1:15" ht="12.75">
      <c r="A77" s="425"/>
      <c r="B77" s="478"/>
      <c r="C77" s="1239" t="s">
        <v>637</v>
      </c>
      <c r="D77" s="486">
        <f>SUM(D61:D76)</f>
        <v>637399.3</v>
      </c>
      <c r="E77" s="487">
        <f>SUM(E61:E76)</f>
        <v>0</v>
      </c>
      <c r="F77" s="416"/>
      <c r="G77" s="486">
        <f>SUM(G61:G76)</f>
        <v>0</v>
      </c>
      <c r="I77" s="486">
        <f>SUM(I61:I76)</f>
        <v>67347.96</v>
      </c>
      <c r="J77" s="486">
        <f>SUM(J61:J76)</f>
        <v>570051.34</v>
      </c>
      <c r="K77" s="486">
        <f>SUM(K61:K76)</f>
        <v>637399.3</v>
      </c>
      <c r="L77" s="169"/>
      <c r="M77" s="422"/>
      <c r="N77" s="422"/>
      <c r="O77" s="169"/>
    </row>
    <row r="78" spans="1:15" ht="12.75">
      <c r="A78" s="425"/>
      <c r="B78" s="425"/>
      <c r="C78" s="169"/>
      <c r="D78" s="169"/>
      <c r="E78" s="169"/>
      <c r="F78" s="169"/>
      <c r="G78" s="169"/>
      <c r="H78" s="169"/>
      <c r="I78" s="169"/>
      <c r="J78" s="169"/>
      <c r="K78" s="169"/>
      <c r="L78" s="169"/>
      <c r="M78" s="422"/>
      <c r="N78" s="422"/>
      <c r="O78" s="169"/>
    </row>
    <row r="79" spans="1:15" ht="20.25" customHeight="1">
      <c r="A79" s="1120" t="s">
        <v>704</v>
      </c>
      <c r="B79" s="1441" t="s">
        <v>789</v>
      </c>
      <c r="C79" s="1441"/>
      <c r="D79" s="1441"/>
      <c r="E79" s="1441"/>
      <c r="F79" s="1441"/>
      <c r="G79" s="1441"/>
      <c r="H79" s="1441"/>
      <c r="I79" s="1441"/>
      <c r="J79" s="1441"/>
      <c r="K79" s="1441"/>
      <c r="L79" s="1441"/>
      <c r="M79" s="422"/>
      <c r="N79" s="422"/>
      <c r="O79" s="169"/>
    </row>
    <row r="80" spans="1:15" ht="20.25" customHeight="1">
      <c r="A80" s="1240"/>
      <c r="B80" s="1441"/>
      <c r="C80" s="1441"/>
      <c r="D80" s="1441"/>
      <c r="E80" s="1441"/>
      <c r="F80" s="1441"/>
      <c r="G80" s="1441"/>
      <c r="H80" s="1441"/>
      <c r="I80" s="1441"/>
      <c r="J80" s="1441"/>
      <c r="K80" s="1441"/>
      <c r="L80" s="1441"/>
      <c r="M80" s="169"/>
      <c r="N80" s="169"/>
      <c r="O80" s="169"/>
    </row>
    <row r="81" spans="1:15" ht="12.75">
      <c r="A81" s="169"/>
      <c r="B81" s="169"/>
      <c r="C81" s="169"/>
      <c r="D81" s="169"/>
      <c r="E81" s="169"/>
      <c r="F81" s="169"/>
      <c r="G81" s="169"/>
      <c r="H81" s="169"/>
      <c r="I81" s="169"/>
      <c r="J81" s="169"/>
      <c r="K81" s="169"/>
      <c r="L81" s="169"/>
      <c r="M81" s="169"/>
      <c r="N81" s="169"/>
      <c r="O81" s="169"/>
    </row>
    <row r="82" spans="1:15" ht="12.75">
      <c r="A82" s="169"/>
      <c r="B82" s="169"/>
      <c r="C82" s="169"/>
      <c r="D82" s="169"/>
      <c r="E82" s="169"/>
      <c r="F82" s="169"/>
      <c r="G82" s="169"/>
      <c r="H82" s="169"/>
      <c r="I82" s="169"/>
      <c r="J82" s="169"/>
      <c r="K82" s="169"/>
      <c r="L82" s="169"/>
      <c r="M82" s="169"/>
      <c r="N82" s="169"/>
      <c r="O82" s="169"/>
    </row>
    <row r="83" spans="1:15" ht="12.75">
      <c r="A83" s="169"/>
      <c r="B83" s="169"/>
      <c r="C83" s="169"/>
      <c r="D83" s="169"/>
      <c r="E83" s="169"/>
      <c r="F83" s="169"/>
      <c r="G83" s="169"/>
      <c r="H83" s="169"/>
      <c r="I83" s="169"/>
      <c r="J83" s="169"/>
      <c r="K83" s="169"/>
      <c r="L83" s="169"/>
      <c r="M83" s="169"/>
      <c r="N83" s="169"/>
      <c r="O83" s="169"/>
    </row>
    <row r="84" spans="1:15" ht="12.75">
      <c r="A84" s="169"/>
      <c r="B84" s="169"/>
      <c r="C84" s="169"/>
      <c r="D84" s="169"/>
      <c r="E84" s="169"/>
      <c r="F84" s="169"/>
      <c r="G84" s="169"/>
      <c r="H84" s="169"/>
      <c r="I84" s="169"/>
      <c r="J84" s="169"/>
      <c r="K84" s="169"/>
      <c r="L84" s="169"/>
      <c r="M84" s="169"/>
      <c r="N84" s="169"/>
      <c r="O84" s="169"/>
    </row>
    <row r="85" spans="1:15" ht="12.75">
      <c r="A85" s="169"/>
      <c r="B85" s="169"/>
      <c r="C85" s="169"/>
      <c r="D85" s="169"/>
      <c r="E85" s="169"/>
      <c r="F85" s="169"/>
      <c r="G85" s="169"/>
      <c r="H85" s="169"/>
      <c r="I85" s="169"/>
      <c r="J85" s="169"/>
      <c r="K85" s="169"/>
      <c r="L85" s="169"/>
      <c r="M85" s="169"/>
      <c r="N85" s="169"/>
      <c r="O85" s="169"/>
    </row>
    <row r="86" spans="1:15" ht="12.75">
      <c r="A86" s="169"/>
      <c r="B86" s="169"/>
      <c r="C86" s="169"/>
      <c r="D86" s="169"/>
      <c r="E86" s="169"/>
      <c r="F86" s="169"/>
      <c r="G86" s="169"/>
      <c r="H86" s="169"/>
      <c r="I86" s="169"/>
      <c r="J86" s="169"/>
      <c r="K86" s="169"/>
      <c r="L86" s="169"/>
      <c r="M86" s="169"/>
      <c r="N86" s="169"/>
      <c r="O86" s="169"/>
    </row>
    <row r="87" spans="1:15" ht="12.75">
      <c r="A87" s="169"/>
      <c r="B87" s="169"/>
      <c r="C87" s="169"/>
      <c r="D87" s="169"/>
      <c r="E87" s="169"/>
      <c r="F87" s="169"/>
      <c r="G87" s="169"/>
      <c r="H87" s="169"/>
      <c r="I87" s="169"/>
      <c r="J87" s="169"/>
      <c r="K87" s="169"/>
      <c r="L87" s="169"/>
      <c r="M87" s="169"/>
      <c r="N87" s="169"/>
      <c r="O87" s="169"/>
    </row>
    <row r="88" spans="1:15" ht="12.75">
      <c r="A88" s="169"/>
      <c r="B88" s="169"/>
      <c r="C88" s="169"/>
      <c r="D88" s="169"/>
      <c r="E88" s="169"/>
      <c r="F88" s="169"/>
      <c r="G88" s="169"/>
      <c r="H88" s="169"/>
      <c r="I88" s="169"/>
      <c r="J88" s="169"/>
      <c r="K88" s="169"/>
      <c r="L88" s="169"/>
      <c r="M88" s="169"/>
      <c r="N88" s="169"/>
      <c r="O88" s="169"/>
    </row>
    <row r="89" spans="1:15" ht="12.75">
      <c r="A89" s="169"/>
      <c r="B89" s="169"/>
      <c r="C89" s="169"/>
      <c r="D89" s="169"/>
      <c r="E89" s="169"/>
      <c r="F89" s="169"/>
      <c r="G89" s="169"/>
      <c r="H89" s="169"/>
      <c r="I89" s="169"/>
      <c r="J89" s="169"/>
      <c r="K89" s="169"/>
      <c r="L89" s="169"/>
      <c r="M89" s="169"/>
      <c r="N89" s="169"/>
      <c r="O89" s="169"/>
    </row>
    <row r="90" spans="1:15" ht="12.75">
      <c r="A90" s="169"/>
      <c r="B90" s="169"/>
      <c r="C90" s="169"/>
      <c r="D90" s="169"/>
      <c r="E90" s="169"/>
      <c r="F90" s="169"/>
      <c r="G90" s="169"/>
      <c r="H90" s="169"/>
      <c r="I90" s="169"/>
      <c r="J90" s="169"/>
      <c r="K90" s="169"/>
      <c r="L90" s="169"/>
      <c r="M90" s="169"/>
      <c r="N90" s="169"/>
      <c r="O90" s="169"/>
    </row>
    <row r="91" spans="1:15" ht="12.75">
      <c r="A91" s="169"/>
      <c r="B91" s="169"/>
      <c r="C91" s="169"/>
      <c r="D91" s="169"/>
      <c r="E91" s="169"/>
      <c r="F91" s="169"/>
      <c r="G91" s="169"/>
      <c r="H91" s="169"/>
      <c r="I91" s="169"/>
      <c r="J91" s="169"/>
      <c r="K91" s="169"/>
      <c r="L91" s="169"/>
      <c r="M91" s="169"/>
      <c r="N91" s="169"/>
      <c r="O91" s="169"/>
    </row>
    <row r="92" spans="1:15" ht="12.75">
      <c r="A92" s="169"/>
      <c r="B92" s="169"/>
      <c r="C92" s="169"/>
      <c r="D92" s="169"/>
      <c r="E92" s="169"/>
      <c r="F92" s="169"/>
      <c r="G92" s="169"/>
      <c r="H92" s="169"/>
      <c r="I92" s="169"/>
      <c r="J92" s="169"/>
      <c r="K92" s="169"/>
      <c r="L92" s="169"/>
      <c r="M92" s="169"/>
      <c r="N92" s="169"/>
      <c r="O92" s="169"/>
    </row>
    <row r="93" spans="1:15" ht="12.75">
      <c r="A93" s="169"/>
      <c r="B93" s="169"/>
      <c r="C93" s="169"/>
      <c r="D93" s="169"/>
      <c r="E93" s="169"/>
      <c r="F93" s="169"/>
      <c r="G93" s="169"/>
      <c r="H93" s="169"/>
      <c r="I93" s="169"/>
      <c r="J93" s="169"/>
      <c r="K93" s="169"/>
      <c r="L93" s="169"/>
      <c r="M93" s="169"/>
      <c r="N93" s="169"/>
      <c r="O93" s="169"/>
    </row>
    <row r="94" spans="1:15" ht="12.75">
      <c r="A94" s="169"/>
      <c r="B94" s="169"/>
      <c r="C94" s="169"/>
      <c r="D94" s="169"/>
      <c r="E94" s="169"/>
      <c r="F94" s="169"/>
      <c r="G94" s="169"/>
      <c r="H94" s="169"/>
      <c r="I94" s="169"/>
      <c r="J94" s="169"/>
      <c r="K94" s="169"/>
      <c r="L94" s="169"/>
      <c r="M94" s="169"/>
      <c r="N94" s="169"/>
      <c r="O94" s="169"/>
    </row>
    <row r="95" spans="1:15" ht="12.75">
      <c r="A95" s="169"/>
      <c r="B95" s="169"/>
      <c r="C95" s="169"/>
      <c r="D95" s="169"/>
      <c r="E95" s="169"/>
      <c r="F95" s="169"/>
      <c r="G95" s="169"/>
      <c r="H95" s="169"/>
      <c r="I95" s="169"/>
      <c r="J95" s="169"/>
      <c r="K95" s="169"/>
      <c r="L95" s="169"/>
      <c r="M95" s="169"/>
      <c r="N95" s="169"/>
      <c r="O95" s="169"/>
    </row>
    <row r="96" spans="1:15" ht="12.75">
      <c r="A96" s="169"/>
      <c r="B96" s="169"/>
      <c r="C96" s="169"/>
      <c r="D96" s="169"/>
      <c r="E96" s="169"/>
      <c r="F96" s="169"/>
      <c r="G96" s="169"/>
      <c r="H96" s="169"/>
      <c r="I96" s="169"/>
      <c r="J96" s="169"/>
      <c r="K96" s="169"/>
      <c r="L96" s="169"/>
      <c r="M96" s="169"/>
      <c r="N96" s="169"/>
      <c r="O96" s="169"/>
    </row>
    <row r="97" spans="1:15" ht="12.75">
      <c r="A97" s="169"/>
      <c r="B97" s="169"/>
      <c r="C97" s="169"/>
      <c r="D97" s="169"/>
      <c r="E97" s="169"/>
      <c r="F97" s="169"/>
      <c r="G97" s="169"/>
      <c r="H97" s="169"/>
      <c r="I97" s="169"/>
      <c r="J97" s="169"/>
      <c r="K97" s="169"/>
      <c r="L97" s="169"/>
      <c r="M97" s="169"/>
      <c r="N97" s="169"/>
      <c r="O97" s="169"/>
    </row>
    <row r="98" spans="1:15" ht="12.75">
      <c r="A98" s="169"/>
      <c r="B98" s="169"/>
      <c r="C98" s="169"/>
      <c r="D98" s="169"/>
      <c r="E98" s="169"/>
      <c r="F98" s="169"/>
      <c r="G98" s="169"/>
      <c r="H98" s="169"/>
      <c r="I98" s="169"/>
      <c r="J98" s="169"/>
      <c r="K98" s="169"/>
      <c r="L98" s="169"/>
      <c r="M98" s="169"/>
      <c r="N98" s="169"/>
      <c r="O98" s="169"/>
    </row>
    <row r="99" spans="1:15" ht="12.75">
      <c r="A99" s="169"/>
      <c r="B99" s="169"/>
      <c r="C99" s="169"/>
      <c r="D99" s="169"/>
      <c r="E99" s="169"/>
      <c r="F99" s="169"/>
      <c r="G99" s="169"/>
      <c r="H99" s="169"/>
      <c r="I99" s="169"/>
      <c r="J99" s="169"/>
      <c r="K99" s="169"/>
      <c r="L99" s="169"/>
      <c r="M99" s="169"/>
      <c r="N99" s="169"/>
      <c r="O99" s="169"/>
    </row>
    <row r="100" spans="1:15" ht="12.75">
      <c r="A100" s="169"/>
      <c r="B100" s="169"/>
      <c r="C100" s="169"/>
      <c r="D100" s="169"/>
      <c r="E100" s="169"/>
      <c r="F100" s="169"/>
      <c r="G100" s="169"/>
      <c r="H100" s="169"/>
      <c r="I100" s="169"/>
      <c r="J100" s="169"/>
      <c r="K100" s="169"/>
      <c r="L100" s="169"/>
      <c r="M100" s="169"/>
      <c r="N100" s="169"/>
      <c r="O100" s="169"/>
    </row>
    <row r="101" spans="1:15" ht="12.75">
      <c r="A101" s="169"/>
      <c r="B101" s="169"/>
      <c r="C101" s="169"/>
      <c r="D101" s="169"/>
      <c r="E101" s="169"/>
      <c r="F101" s="169"/>
      <c r="G101" s="169"/>
      <c r="H101" s="169"/>
      <c r="I101" s="169"/>
      <c r="J101" s="169"/>
      <c r="K101" s="169"/>
      <c r="L101" s="169"/>
      <c r="M101" s="169"/>
      <c r="N101" s="169"/>
      <c r="O101" s="169"/>
    </row>
    <row r="102" spans="1:15" ht="12.75">
      <c r="A102" s="169"/>
      <c r="B102" s="169"/>
      <c r="C102" s="169"/>
      <c r="D102" s="169"/>
      <c r="E102" s="169"/>
      <c r="F102" s="169"/>
      <c r="G102" s="169"/>
      <c r="H102" s="169"/>
      <c r="I102" s="169"/>
      <c r="J102" s="169"/>
      <c r="K102" s="169"/>
      <c r="L102" s="169"/>
      <c r="M102" s="169"/>
      <c r="N102" s="169"/>
      <c r="O102" s="169"/>
    </row>
    <row r="103" spans="1:15" ht="12.75">
      <c r="A103" s="169"/>
      <c r="B103" s="169"/>
      <c r="C103" s="169"/>
      <c r="D103" s="169"/>
      <c r="E103" s="169"/>
      <c r="F103" s="169"/>
      <c r="G103" s="169"/>
      <c r="H103" s="169"/>
      <c r="I103" s="169"/>
      <c r="J103" s="169"/>
      <c r="K103" s="169"/>
      <c r="L103" s="169"/>
      <c r="M103" s="169"/>
      <c r="N103" s="169"/>
      <c r="O103" s="169"/>
    </row>
  </sheetData>
  <sheetProtection/>
  <mergeCells count="12">
    <mergeCell ref="B8:K8"/>
    <mergeCell ref="A1:L1"/>
    <mergeCell ref="A2:L2"/>
    <mergeCell ref="A3:L3"/>
    <mergeCell ref="A4:L4"/>
    <mergeCell ref="B56:J56"/>
    <mergeCell ref="B22:K22"/>
    <mergeCell ref="E10:E11"/>
    <mergeCell ref="I10:I11"/>
    <mergeCell ref="B32:J32"/>
    <mergeCell ref="G10:G11"/>
    <mergeCell ref="B79:L80"/>
  </mergeCells>
  <printOptions/>
  <pageMargins left="1.08" right="0.75" top="0.7" bottom="0.41" header="0.75" footer="0.27"/>
  <pageSetup fitToHeight="1" fitToWidth="1" horizontalDpi="600" verticalDpi="600" orientation="landscape" scale="46"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A1">
      <selection activeCell="A1" sqref="A1:E1"/>
    </sheetView>
  </sheetViews>
  <sheetFormatPr defaultColWidth="8.8515625" defaultRowHeight="12.75"/>
  <cols>
    <col min="1" max="1" width="9.140625" style="268" customWidth="1"/>
    <col min="2" max="2" width="65.140625" style="169" bestFit="1" customWidth="1"/>
    <col min="3" max="3" width="13.57421875" style="169" bestFit="1" customWidth="1"/>
    <col min="4" max="4" width="1.57421875" style="169" customWidth="1"/>
    <col min="5" max="5" width="15.00390625" style="169" bestFit="1" customWidth="1"/>
    <col min="6" max="16384" width="8.8515625" style="169" customWidth="1"/>
  </cols>
  <sheetData>
    <row r="1" spans="1:15" ht="15">
      <c r="A1" s="1421" t="str">
        <f>TCOS!$F$3</f>
        <v>AEPTCo subsidiaries in PJM</v>
      </c>
      <c r="B1" s="1421" t="str">
        <f>TCOS!$F$3</f>
        <v>AEPTCo subsidiaries in PJM</v>
      </c>
      <c r="C1" s="1421" t="str">
        <f>TCOS!$F$3</f>
        <v>AEPTCo subsidiaries in PJM</v>
      </c>
      <c r="D1" s="1421" t="str">
        <f>TCOS!$F$3</f>
        <v>AEPTCo subsidiaries in PJM</v>
      </c>
      <c r="E1" s="1421" t="str">
        <f>TCOS!$F$3</f>
        <v>AEPTCo subsidiaries in PJM</v>
      </c>
      <c r="F1" s="415"/>
      <c r="G1" s="415"/>
      <c r="H1" s="415"/>
      <c r="I1" s="415"/>
      <c r="J1" s="415"/>
      <c r="K1" s="415"/>
      <c r="L1" s="415"/>
      <c r="M1" s="415"/>
      <c r="N1" s="415"/>
      <c r="O1" s="415"/>
    </row>
    <row r="2" spans="1:15" ht="15">
      <c r="A2" s="1442" t="str">
        <f>"Cost of Service Formula Rate Using Actual/Projected FF1 Balances"</f>
        <v>Cost of Service Formula Rate Using Actual/Projected FF1 Balances</v>
      </c>
      <c r="B2" s="1442"/>
      <c r="C2" s="1442"/>
      <c r="D2" s="1442"/>
      <c r="E2" s="1442"/>
      <c r="F2" s="417"/>
      <c r="G2" s="417"/>
      <c r="H2" s="417"/>
      <c r="I2" s="417"/>
      <c r="J2" s="417"/>
      <c r="K2" s="417"/>
      <c r="L2" s="417"/>
      <c r="M2" s="435"/>
      <c r="N2" s="435"/>
      <c r="O2" s="435"/>
    </row>
    <row r="3" spans="1:15" ht="15">
      <c r="A3" s="1442" t="s">
        <v>554</v>
      </c>
      <c r="B3" s="1442"/>
      <c r="C3" s="1442"/>
      <c r="D3" s="1442"/>
      <c r="E3" s="1442"/>
      <c r="F3" s="417"/>
      <c r="G3" s="417"/>
      <c r="H3" s="417"/>
      <c r="I3" s="417"/>
      <c r="J3" s="417"/>
      <c r="K3" s="417"/>
      <c r="L3" s="417"/>
      <c r="M3" s="417"/>
      <c r="N3" s="417"/>
      <c r="O3" s="417"/>
    </row>
    <row r="4" spans="1:15" ht="15">
      <c r="A4" s="1443" t="str">
        <f>TCOS!F7</f>
        <v>AEP WEST VIRGINIA TRANSMISSION COMPANY</v>
      </c>
      <c r="B4" s="1443"/>
      <c r="C4" s="1443"/>
      <c r="D4" s="1443"/>
      <c r="E4" s="1443"/>
      <c r="F4" s="165"/>
      <c r="G4" s="165"/>
      <c r="H4" s="165"/>
      <c r="I4" s="165"/>
      <c r="J4" s="165"/>
      <c r="K4" s="165"/>
      <c r="L4" s="165"/>
      <c r="M4" s="165"/>
      <c r="N4" s="165"/>
      <c r="O4" s="165"/>
    </row>
    <row r="6" spans="1:3" ht="12.75">
      <c r="A6" s="495" t="s">
        <v>470</v>
      </c>
      <c r="B6" s="496" t="s">
        <v>463</v>
      </c>
      <c r="C6" s="496" t="s">
        <v>464</v>
      </c>
    </row>
    <row r="7" spans="1:3" ht="12.75">
      <c r="A7" s="495" t="s">
        <v>408</v>
      </c>
      <c r="B7" s="495" t="s">
        <v>468</v>
      </c>
      <c r="C7" s="495">
        <f>+TCOS!L2</f>
        <v>2017</v>
      </c>
    </row>
    <row r="8" spans="1:3" ht="12.75">
      <c r="A8" s="497"/>
      <c r="B8" s="498"/>
      <c r="C8" s="496"/>
    </row>
    <row r="9" spans="1:4" ht="12.75">
      <c r="A9" s="268">
        <v>1</v>
      </c>
      <c r="B9" s="1241" t="str">
        <f>"Net Funds from IPP Customers 12/31/"&amp;TCOS!L2-1&amp;" ("&amp;TCOS!L2&amp;" FORM 1, P269)"</f>
        <v>Net Funds from IPP Customers 12/31/2016 (2017 FORM 1, P269)</v>
      </c>
      <c r="C9" s="511">
        <v>0</v>
      </c>
      <c r="D9" s="387"/>
    </row>
    <row r="10" spans="2:4" ht="12.75">
      <c r="B10" s="341"/>
      <c r="D10" s="387"/>
    </row>
    <row r="11" spans="1:4" ht="12.75">
      <c r="A11" s="499">
        <v>2</v>
      </c>
      <c r="B11" s="1241" t="s">
        <v>260</v>
      </c>
      <c r="C11" s="511">
        <v>0</v>
      </c>
      <c r="D11" s="387"/>
    </row>
    <row r="12" spans="1:4" ht="12.75">
      <c r="A12" s="499"/>
      <c r="B12" s="1241"/>
      <c r="D12" s="387"/>
    </row>
    <row r="13" spans="1:4" ht="12.75">
      <c r="A13" s="499">
        <f>+A11+1</f>
        <v>3</v>
      </c>
      <c r="B13" s="1241" t="s">
        <v>338</v>
      </c>
      <c r="C13" s="511">
        <v>0</v>
      </c>
      <c r="D13" s="387"/>
    </row>
    <row r="14" spans="1:4" ht="12.75">
      <c r="A14" s="499"/>
      <c r="B14" s="1241"/>
      <c r="D14" s="387"/>
    </row>
    <row r="15" spans="1:4" ht="12.75">
      <c r="A15" s="499">
        <f>+A13+1</f>
        <v>4</v>
      </c>
      <c r="B15" s="1242" t="s">
        <v>0</v>
      </c>
      <c r="D15" s="387"/>
    </row>
    <row r="16" spans="1:4" ht="12.75">
      <c r="A16" s="500">
        <f>+A15+1</f>
        <v>5</v>
      </c>
      <c r="B16" s="1241" t="s">
        <v>339</v>
      </c>
      <c r="C16" s="511">
        <v>0</v>
      </c>
      <c r="D16" s="387"/>
    </row>
    <row r="17" spans="1:4" ht="12.75">
      <c r="A17" s="500">
        <f>+A16+1</f>
        <v>6</v>
      </c>
      <c r="B17" s="1243" t="s">
        <v>417</v>
      </c>
      <c r="C17" s="511">
        <v>0</v>
      </c>
      <c r="D17" s="387"/>
    </row>
    <row r="18" spans="1:4" ht="12.75">
      <c r="A18" s="500"/>
      <c r="B18" s="341"/>
      <c r="C18" s="503"/>
      <c r="D18" s="387"/>
    </row>
    <row r="19" spans="1:4" ht="12.75">
      <c r="A19" s="500">
        <f>+A17+1</f>
        <v>7</v>
      </c>
      <c r="B19" s="1241" t="str">
        <f>"Net Funds from IPP Customers 12/31/"&amp;TCOS!L2&amp;" ("&amp;TCOS!L2&amp;" FORM 1, P269)"</f>
        <v>Net Funds from IPP Customers 12/31/2017 (2017 FORM 1, P269)</v>
      </c>
      <c r="C19" s="504">
        <f>+C9+C11+C13+C16+C17</f>
        <v>0</v>
      </c>
      <c r="D19" s="505"/>
    </row>
    <row r="20" spans="1:4" ht="12.75">
      <c r="A20" s="500"/>
      <c r="B20" s="502"/>
      <c r="D20" s="387"/>
    </row>
    <row r="21" spans="1:4" ht="12.75">
      <c r="A21" s="500">
        <f>+A19+1</f>
        <v>8</v>
      </c>
      <c r="B21" s="501" t="str">
        <f>"Average Balance for Year as Indicated in Column ((ln "&amp;A9&amp;" + ln "&amp;A19&amp;")/2)"</f>
        <v>Average Balance for Year as Indicated in Column ((ln 1 + ln 7)/2)</v>
      </c>
      <c r="C21" s="506">
        <f>AVERAGE(C19,C9)</f>
        <v>0</v>
      </c>
      <c r="D21" s="387"/>
    </row>
    <row r="22" spans="1:4" ht="12.75">
      <c r="A22" s="500"/>
      <c r="B22" s="502"/>
      <c r="D22" s="387"/>
    </row>
    <row r="23" spans="1:4" ht="12.75">
      <c r="A23" s="500"/>
      <c r="B23" s="502"/>
      <c r="C23" s="504"/>
      <c r="D23" s="387"/>
    </row>
    <row r="24" spans="1:4" ht="15">
      <c r="A24" s="507" t="s">
        <v>296</v>
      </c>
      <c r="B24" s="1444" t="str">
        <f>"On this worksheet Company Records refers to  "&amp;A4&amp;"'s general ledger."</f>
        <v>On this worksheet Company Records refers to  AEP WEST VIRGINIA TRANSMISSION COMPANY's general ledger.</v>
      </c>
      <c r="C24" s="405"/>
      <c r="D24" s="387"/>
    </row>
    <row r="25" spans="1:4" ht="12.75">
      <c r="A25" s="508"/>
      <c r="B25" s="1445"/>
      <c r="D25" s="387"/>
    </row>
    <row r="26" ht="12.75">
      <c r="D26" s="387"/>
    </row>
    <row r="27" ht="12.75">
      <c r="D27" s="387"/>
    </row>
    <row r="28" ht="12.75">
      <c r="D28" s="387"/>
    </row>
    <row r="29" ht="12.75">
      <c r="D29" s="387"/>
    </row>
    <row r="30" ht="12.75">
      <c r="D30" s="509"/>
    </row>
    <row r="31" ht="12.75">
      <c r="D31" s="387"/>
    </row>
    <row r="32" ht="12.75">
      <c r="D32" s="387"/>
    </row>
    <row r="33" ht="12.75">
      <c r="D33" s="387"/>
    </row>
    <row r="34" spans="1:4" ht="12.75">
      <c r="A34" s="497"/>
      <c r="B34" s="387"/>
      <c r="C34" s="387"/>
      <c r="D34" s="387"/>
    </row>
    <row r="35" spans="1:3" ht="12.75">
      <c r="A35" s="497"/>
      <c r="B35" s="387"/>
      <c r="C35" s="387"/>
    </row>
    <row r="36" ht="12.75">
      <c r="C36" s="510"/>
    </row>
  </sheetData>
  <sheetProtection/>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49"/>
  <sheetViews>
    <sheetView zoomScalePageLayoutView="0" workbookViewId="0" topLeftCell="A1">
      <selection activeCell="A1" sqref="A1:K1"/>
    </sheetView>
  </sheetViews>
  <sheetFormatPr defaultColWidth="9.140625" defaultRowHeight="12.75"/>
  <cols>
    <col min="1" max="1" width="9.421875" style="512" customWidth="1"/>
    <col min="2" max="2" width="6.7109375" style="512" customWidth="1"/>
    <col min="3" max="7" width="12.7109375" style="512" customWidth="1"/>
    <col min="8" max="8" width="19.28125" style="512" customWidth="1"/>
    <col min="9" max="9" width="15.00390625" style="512" bestFit="1" customWidth="1"/>
    <col min="10" max="11" width="16.57421875" style="512" bestFit="1" customWidth="1"/>
    <col min="12" max="13" width="22.140625" style="512" bestFit="1" customWidth="1"/>
    <col min="14" max="14" width="8.421875" style="512" customWidth="1"/>
    <col min="15" max="38" width="12.7109375" style="512" customWidth="1"/>
    <col min="39" max="16384" width="9.140625" style="512" customWidth="1"/>
  </cols>
  <sheetData>
    <row r="1" spans="1:15" ht="15">
      <c r="A1" s="1421" t="str">
        <f>TCOS!$F$3</f>
        <v>AEPTCo subsidiaries in PJM</v>
      </c>
      <c r="B1" s="1421" t="str">
        <f>TCOS!$F$3</f>
        <v>AEPTCo subsidiaries in PJM</v>
      </c>
      <c r="C1" s="1421" t="str">
        <f>TCOS!$F$3</f>
        <v>AEPTCo subsidiaries in PJM</v>
      </c>
      <c r="D1" s="1421" t="str">
        <f>TCOS!$F$3</f>
        <v>AEPTCo subsidiaries in PJM</v>
      </c>
      <c r="E1" s="1421" t="str">
        <f>TCOS!$F$3</f>
        <v>AEPTCo subsidiaries in PJM</v>
      </c>
      <c r="F1" s="1421" t="str">
        <f>TCOS!$F$3</f>
        <v>AEPTCo subsidiaries in PJM</v>
      </c>
      <c r="G1" s="1421" t="str">
        <f>TCOS!$F$3</f>
        <v>AEPTCo subsidiaries in PJM</v>
      </c>
      <c r="H1" s="1421" t="str">
        <f>TCOS!$F$3</f>
        <v>AEPTCo subsidiaries in PJM</v>
      </c>
      <c r="I1" s="1421" t="str">
        <f>TCOS!$F$3</f>
        <v>AEPTCo subsidiaries in PJM</v>
      </c>
      <c r="J1" s="1421" t="str">
        <f>TCOS!$F$3</f>
        <v>AEPTCo subsidiaries in PJM</v>
      </c>
      <c r="K1" s="1421" t="str">
        <f>TCOS!$F$3</f>
        <v>AEPTCo subsidiaries in PJM</v>
      </c>
      <c r="L1" s="415"/>
      <c r="M1" s="415"/>
      <c r="N1" s="415"/>
      <c r="O1" s="415"/>
    </row>
    <row r="2" spans="1:15" ht="15">
      <c r="A2" s="1442" t="str">
        <f>"Cost of Service Formula Rate Using Actual/Projected FF1 Balances"</f>
        <v>Cost of Service Formula Rate Using Actual/Projected FF1 Balances</v>
      </c>
      <c r="B2" s="1442"/>
      <c r="C2" s="1442"/>
      <c r="D2" s="1442"/>
      <c r="E2" s="1442"/>
      <c r="F2" s="1442"/>
      <c r="G2" s="1442"/>
      <c r="H2" s="1442"/>
      <c r="I2" s="1442"/>
      <c r="J2" s="1442"/>
      <c r="K2" s="1442"/>
      <c r="L2" s="435"/>
      <c r="M2" s="435"/>
      <c r="N2" s="435"/>
      <c r="O2" s="435"/>
    </row>
    <row r="3" spans="1:15" ht="15">
      <c r="A3" s="1442" t="s">
        <v>23</v>
      </c>
      <c r="B3" s="1442"/>
      <c r="C3" s="1442"/>
      <c r="D3" s="1442"/>
      <c r="E3" s="1442"/>
      <c r="F3" s="1442"/>
      <c r="G3" s="1442"/>
      <c r="H3" s="1442"/>
      <c r="I3" s="1442"/>
      <c r="J3" s="1442"/>
      <c r="K3" s="1442"/>
      <c r="L3" s="417"/>
      <c r="M3" s="417"/>
      <c r="N3" s="417"/>
      <c r="O3" s="417"/>
    </row>
    <row r="4" spans="1:15" ht="15">
      <c r="A4" s="1443" t="str">
        <f>TCOS!F7</f>
        <v>AEP WEST VIRGINIA TRANSMISSION COMPANY</v>
      </c>
      <c r="B4" s="1443"/>
      <c r="C4" s="1443"/>
      <c r="D4" s="1443"/>
      <c r="E4" s="1443"/>
      <c r="F4" s="1443"/>
      <c r="G4" s="1443"/>
      <c r="H4" s="1443"/>
      <c r="I4" s="1443"/>
      <c r="J4" s="1443"/>
      <c r="K4" s="1443"/>
      <c r="L4" s="165"/>
      <c r="M4" s="165"/>
      <c r="N4" s="165"/>
      <c r="O4" s="165"/>
    </row>
    <row r="5" spans="1:15" ht="15">
      <c r="A5" s="513"/>
      <c r="B5" s="513"/>
      <c r="C5" s="513"/>
      <c r="D5" s="513"/>
      <c r="E5" s="513"/>
      <c r="F5" s="513"/>
      <c r="G5" s="513"/>
      <c r="H5" s="513"/>
      <c r="I5" s="513"/>
      <c r="J5" s="513"/>
      <c r="K5" s="513"/>
      <c r="L5" s="513"/>
      <c r="M5" s="513"/>
      <c r="N5" s="513"/>
      <c r="O5" s="513"/>
    </row>
    <row r="6" spans="1:13" ht="18">
      <c r="A6" s="1448"/>
      <c r="B6" s="1448"/>
      <c r="C6" s="1448"/>
      <c r="D6" s="1448"/>
      <c r="E6" s="1448"/>
      <c r="F6" s="1448"/>
      <c r="G6" s="1448"/>
      <c r="H6" s="1448"/>
      <c r="I6" s="1448"/>
      <c r="J6" s="1448"/>
      <c r="K6" s="1448"/>
      <c r="L6" s="515"/>
      <c r="M6" s="516"/>
    </row>
    <row r="7" spans="1:13" ht="18">
      <c r="A7" s="514"/>
      <c r="B7" s="514"/>
      <c r="C7" s="514"/>
      <c r="D7" s="514"/>
      <c r="E7" s="514"/>
      <c r="F7" s="514"/>
      <c r="G7" s="514"/>
      <c r="H7" s="514"/>
      <c r="I7" s="514"/>
      <c r="J7" s="514"/>
      <c r="K7" s="514"/>
      <c r="L7" s="515"/>
      <c r="M7" s="516"/>
    </row>
    <row r="8" spans="1:22" ht="15.75">
      <c r="A8" s="517" t="s">
        <v>470</v>
      </c>
      <c r="B8" s="515"/>
      <c r="C8" s="518"/>
      <c r="D8" s="518"/>
      <c r="E8" s="518"/>
      <c r="F8" s="518"/>
      <c r="G8" s="519"/>
      <c r="H8" s="519"/>
      <c r="I8" s="517" t="s">
        <v>483</v>
      </c>
      <c r="J8" s="517" t="s">
        <v>366</v>
      </c>
      <c r="K8" s="520"/>
      <c r="N8" s="521"/>
      <c r="P8" s="521"/>
      <c r="R8" s="521"/>
      <c r="S8" s="521"/>
      <c r="T8" s="521"/>
      <c r="U8" s="389"/>
      <c r="V8" s="389"/>
    </row>
    <row r="9" spans="1:22" ht="15.75">
      <c r="A9" s="517" t="s">
        <v>408</v>
      </c>
      <c r="B9" s="1449" t="s">
        <v>468</v>
      </c>
      <c r="C9" s="1449"/>
      <c r="D9" s="1449"/>
      <c r="E9" s="1449"/>
      <c r="F9" s="1449"/>
      <c r="G9" s="1449"/>
      <c r="H9" s="1449"/>
      <c r="I9" s="522" t="s">
        <v>484</v>
      </c>
      <c r="J9" s="522" t="s">
        <v>418</v>
      </c>
      <c r="K9" s="522" t="s">
        <v>418</v>
      </c>
      <c r="N9" s="521"/>
      <c r="O9" s="521"/>
      <c r="P9" s="521"/>
      <c r="Q9" s="521"/>
      <c r="R9" s="521"/>
      <c r="S9" s="521"/>
      <c r="T9" s="523"/>
      <c r="U9" s="389"/>
      <c r="V9" s="389"/>
    </row>
    <row r="10" spans="1:22" ht="15.75">
      <c r="A10" s="519"/>
      <c r="B10" s="524"/>
      <c r="C10" s="515"/>
      <c r="D10" s="519"/>
      <c r="E10" s="519"/>
      <c r="F10" s="519"/>
      <c r="G10" s="519"/>
      <c r="H10" s="519"/>
      <c r="I10" s="519"/>
      <c r="J10" s="519"/>
      <c r="K10" s="525"/>
      <c r="N10" s="521"/>
      <c r="O10" s="521"/>
      <c r="P10" s="521"/>
      <c r="Q10" s="521"/>
      <c r="R10" s="521"/>
      <c r="S10" s="521"/>
      <c r="T10" s="523"/>
      <c r="U10" s="389"/>
      <c r="V10" s="389"/>
    </row>
    <row r="11" spans="1:22" s="528" customFormat="1" ht="12.75">
      <c r="A11" s="526">
        <v>1</v>
      </c>
      <c r="B11" s="527" t="s">
        <v>10</v>
      </c>
      <c r="D11" s="529"/>
      <c r="E11" s="529"/>
      <c r="F11" s="530"/>
      <c r="G11" s="529"/>
      <c r="H11" s="529"/>
      <c r="I11" s="552"/>
      <c r="J11" s="531">
        <f>+I11-K11</f>
        <v>0</v>
      </c>
      <c r="K11" s="552">
        <v>0</v>
      </c>
      <c r="N11" s="308"/>
      <c r="O11" s="308"/>
      <c r="P11" s="308"/>
      <c r="Q11" s="308"/>
      <c r="R11" s="308"/>
      <c r="S11" s="308"/>
      <c r="T11" s="532"/>
      <c r="U11" s="308"/>
      <c r="V11" s="308"/>
    </row>
    <row r="12" spans="1:22" s="528" customFormat="1" ht="12.75">
      <c r="A12" s="526"/>
      <c r="B12" s="527"/>
      <c r="D12" s="529"/>
      <c r="E12" s="529"/>
      <c r="F12" s="530"/>
      <c r="G12" s="529"/>
      <c r="H12" s="529"/>
      <c r="I12" s="533"/>
      <c r="J12" s="534"/>
      <c r="K12" s="534"/>
      <c r="N12" s="308"/>
      <c r="O12" s="308"/>
      <c r="P12" s="308"/>
      <c r="Q12" s="308"/>
      <c r="R12" s="308"/>
      <c r="S12" s="308"/>
      <c r="T12" s="532"/>
      <c r="U12" s="308"/>
      <c r="V12" s="308"/>
    </row>
    <row r="13" spans="1:22" s="528" customFormat="1" ht="12.75">
      <c r="A13" s="526">
        <f>+A11+1</f>
        <v>2</v>
      </c>
      <c r="B13" s="535" t="s">
        <v>11</v>
      </c>
      <c r="D13" s="529"/>
      <c r="E13" s="529"/>
      <c r="F13" s="530"/>
      <c r="G13" s="529"/>
      <c r="H13" s="530"/>
      <c r="I13" s="552"/>
      <c r="J13" s="531">
        <f>+I13-K13</f>
        <v>0</v>
      </c>
      <c r="K13" s="552">
        <v>0</v>
      </c>
      <c r="N13" s="308"/>
      <c r="O13" s="308"/>
      <c r="P13" s="308"/>
      <c r="Q13" s="308"/>
      <c r="R13" s="308"/>
      <c r="S13" s="308"/>
      <c r="T13" s="308"/>
      <c r="U13" s="308"/>
      <c r="V13" s="308"/>
    </row>
    <row r="14" spans="1:22" s="528" customFormat="1" ht="12.75">
      <c r="A14" s="526"/>
      <c r="B14" s="535"/>
      <c r="D14" s="529"/>
      <c r="E14" s="529"/>
      <c r="F14" s="530"/>
      <c r="G14" s="529"/>
      <c r="H14" s="530"/>
      <c r="I14" s="534"/>
      <c r="J14" s="534"/>
      <c r="K14" s="536"/>
      <c r="N14" s="308"/>
      <c r="O14" s="308"/>
      <c r="P14" s="308"/>
      <c r="Q14" s="308"/>
      <c r="R14" s="308"/>
      <c r="S14" s="308"/>
      <c r="T14" s="308"/>
      <c r="U14" s="308"/>
      <c r="V14" s="308"/>
    </row>
    <row r="15" spans="1:22" s="528" customFormat="1" ht="12.75">
      <c r="A15" s="526">
        <f>+A13+1</f>
        <v>3</v>
      </c>
      <c r="B15" s="535" t="s">
        <v>12</v>
      </c>
      <c r="D15" s="529"/>
      <c r="E15" s="529"/>
      <c r="F15" s="530"/>
      <c r="G15" s="529"/>
      <c r="H15" s="529"/>
      <c r="I15" s="1341">
        <v>422310</v>
      </c>
      <c r="J15" s="531">
        <f>+I15-K15</f>
        <v>0</v>
      </c>
      <c r="K15" s="552">
        <f>I15</f>
        <v>422310</v>
      </c>
      <c r="N15" s="308"/>
      <c r="O15" s="308"/>
      <c r="P15" s="308"/>
      <c r="Q15" s="308"/>
      <c r="R15" s="308"/>
      <c r="S15" s="308"/>
      <c r="T15" s="308"/>
      <c r="U15" s="308"/>
      <c r="V15" s="308"/>
    </row>
    <row r="16" spans="1:22" s="528" customFormat="1" ht="12.75">
      <c r="A16" s="526"/>
      <c r="B16" s="530"/>
      <c r="D16" s="529"/>
      <c r="E16" s="529"/>
      <c r="F16" s="530"/>
      <c r="G16" s="536"/>
      <c r="H16" s="530"/>
      <c r="I16" s="1340"/>
      <c r="J16" s="534"/>
      <c r="K16" s="534"/>
      <c r="N16" s="308"/>
      <c r="O16" s="308"/>
      <c r="P16" s="308"/>
      <c r="Q16" s="308"/>
      <c r="R16" s="308"/>
      <c r="S16" s="308"/>
      <c r="T16" s="308"/>
      <c r="U16" s="308"/>
      <c r="V16" s="308"/>
    </row>
    <row r="17" spans="1:22" s="528" customFormat="1" ht="12.75">
      <c r="A17" s="992">
        <v>4</v>
      </c>
      <c r="B17" s="1244" t="s">
        <v>781</v>
      </c>
      <c r="C17" s="341"/>
      <c r="D17" s="1245"/>
      <c r="E17" s="1245"/>
      <c r="F17" s="1245"/>
      <c r="G17" s="993"/>
      <c r="H17" s="1245"/>
      <c r="I17" s="1341">
        <v>0</v>
      </c>
      <c r="J17" s="531">
        <f>+I17-K17</f>
        <v>0</v>
      </c>
      <c r="K17" s="552">
        <v>0</v>
      </c>
      <c r="N17" s="538"/>
      <c r="O17" s="308"/>
      <c r="P17" s="308"/>
      <c r="Q17" s="308"/>
      <c r="R17" s="308"/>
      <c r="S17" s="308"/>
      <c r="T17" s="308"/>
      <c r="U17" s="308"/>
      <c r="V17" s="308"/>
    </row>
    <row r="18" spans="1:22" s="528" customFormat="1" ht="12.75">
      <c r="A18" s="992"/>
      <c r="B18" s="1244"/>
      <c r="C18" s="341"/>
      <c r="D18" s="1245"/>
      <c r="E18" s="1245"/>
      <c r="F18" s="1245"/>
      <c r="G18" s="993"/>
      <c r="H18" s="1245"/>
      <c r="I18" s="308"/>
      <c r="J18" s="308"/>
      <c r="K18" s="308"/>
      <c r="L18" s="308"/>
      <c r="N18" s="538"/>
      <c r="O18" s="308"/>
      <c r="P18" s="308"/>
      <c r="Q18" s="308"/>
      <c r="R18" s="308"/>
      <c r="S18" s="308"/>
      <c r="T18" s="308"/>
      <c r="U18" s="308"/>
      <c r="V18" s="308"/>
    </row>
    <row r="19" spans="1:22" s="528" customFormat="1" ht="12.75">
      <c r="A19" s="992">
        <v>5</v>
      </c>
      <c r="B19" s="1244" t="s">
        <v>782</v>
      </c>
      <c r="C19" s="341"/>
      <c r="D19" s="1245"/>
      <c r="E19" s="1245"/>
      <c r="F19" s="1245"/>
      <c r="G19" s="993"/>
      <c r="H19" s="1245"/>
      <c r="I19" s="1341">
        <v>88648735</v>
      </c>
      <c r="J19" s="531">
        <f>+I19-K19</f>
        <v>88648735</v>
      </c>
      <c r="K19" s="552">
        <v>0</v>
      </c>
      <c r="N19" s="538"/>
      <c r="O19" s="308"/>
      <c r="P19" s="308"/>
      <c r="Q19" s="308"/>
      <c r="R19" s="308"/>
      <c r="S19" s="308"/>
      <c r="T19" s="308"/>
      <c r="U19" s="308"/>
      <c r="V19" s="308"/>
    </row>
    <row r="20" spans="1:22" s="528" customFormat="1" ht="12.75">
      <c r="A20" s="992"/>
      <c r="B20" s="1244"/>
      <c r="C20" s="341"/>
      <c r="D20" s="1245"/>
      <c r="E20" s="1245"/>
      <c r="F20" s="1245"/>
      <c r="G20" s="993"/>
      <c r="H20" s="1245"/>
      <c r="I20" s="308"/>
      <c r="J20" s="308"/>
      <c r="K20" s="308"/>
      <c r="N20" s="538"/>
      <c r="O20" s="308"/>
      <c r="P20" s="308"/>
      <c r="Q20" s="308"/>
      <c r="R20" s="308"/>
      <c r="S20" s="308"/>
      <c r="T20" s="308"/>
      <c r="U20" s="308"/>
      <c r="V20" s="308"/>
    </row>
    <row r="21" spans="1:22" s="528" customFormat="1" ht="12.75">
      <c r="A21" s="992" t="s">
        <v>638</v>
      </c>
      <c r="B21" s="1244" t="s">
        <v>639</v>
      </c>
      <c r="C21" s="341"/>
      <c r="D21" s="1245"/>
      <c r="E21" s="1245"/>
      <c r="F21" s="1245"/>
      <c r="G21" s="993"/>
      <c r="H21" s="1245"/>
      <c r="I21" s="994">
        <v>0</v>
      </c>
      <c r="J21" s="995">
        <v>0</v>
      </c>
      <c r="K21" s="994">
        <v>0</v>
      </c>
      <c r="N21" s="538"/>
      <c r="O21" s="308"/>
      <c r="P21" s="308"/>
      <c r="Q21" s="308"/>
      <c r="R21" s="308"/>
      <c r="S21" s="308"/>
      <c r="T21" s="308"/>
      <c r="U21" s="308"/>
      <c r="V21" s="308"/>
    </row>
    <row r="22" spans="1:22" s="528" customFormat="1" ht="12.75">
      <c r="A22" s="992"/>
      <c r="B22" s="1244"/>
      <c r="C22" s="341"/>
      <c r="D22" s="1245"/>
      <c r="E22" s="1245"/>
      <c r="F22" s="1245"/>
      <c r="G22" s="993"/>
      <c r="H22" s="1245"/>
      <c r="I22" s="308"/>
      <c r="J22" s="308"/>
      <c r="K22" s="308"/>
      <c r="N22" s="538"/>
      <c r="O22" s="308"/>
      <c r="P22" s="308"/>
      <c r="Q22" s="308"/>
      <c r="R22" s="308"/>
      <c r="S22" s="308"/>
      <c r="T22" s="308"/>
      <c r="U22" s="308"/>
      <c r="V22" s="308"/>
    </row>
    <row r="23" spans="1:22" s="528" customFormat="1" ht="12.75">
      <c r="A23" s="992" t="s">
        <v>640</v>
      </c>
      <c r="B23" s="1244" t="s">
        <v>641</v>
      </c>
      <c r="C23" s="341"/>
      <c r="D23" s="1245"/>
      <c r="E23" s="1245"/>
      <c r="F23" s="1245"/>
      <c r="G23" s="993"/>
      <c r="H23" s="1245"/>
      <c r="I23" s="994">
        <v>0</v>
      </c>
      <c r="J23" s="995">
        <v>0</v>
      </c>
      <c r="K23" s="994">
        <v>0</v>
      </c>
      <c r="N23" s="538"/>
      <c r="O23" s="308"/>
      <c r="P23" s="308"/>
      <c r="Q23" s="308"/>
      <c r="R23" s="308"/>
      <c r="S23" s="308"/>
      <c r="T23" s="308"/>
      <c r="U23" s="308"/>
      <c r="V23" s="308"/>
    </row>
    <row r="24" spans="1:22" s="528" customFormat="1" ht="12.75">
      <c r="A24" s="526"/>
      <c r="B24" s="537"/>
      <c r="D24" s="529"/>
      <c r="E24" s="529"/>
      <c r="F24" s="530"/>
      <c r="G24" s="536"/>
      <c r="H24" s="530"/>
      <c r="I24" s="308"/>
      <c r="J24" s="308"/>
      <c r="K24" s="308"/>
      <c r="N24" s="308"/>
      <c r="O24" s="308"/>
      <c r="P24" s="308"/>
      <c r="Q24" s="308"/>
      <c r="R24" s="308"/>
      <c r="S24" s="308"/>
      <c r="T24" s="308"/>
      <c r="U24" s="308"/>
      <c r="V24" s="308"/>
    </row>
    <row r="25" spans="1:22" s="528" customFormat="1" ht="12.75">
      <c r="A25" s="526">
        <f>+A19+1</f>
        <v>6</v>
      </c>
      <c r="B25" s="537" t="s">
        <v>336</v>
      </c>
      <c r="D25" s="529"/>
      <c r="E25" s="529"/>
      <c r="F25" s="530"/>
      <c r="G25" s="536"/>
      <c r="H25" s="530"/>
      <c r="I25" s="540">
        <f>+I19+I17+I15+I13+I11+I21+I23</f>
        <v>89071045</v>
      </c>
      <c r="J25" s="540">
        <f>+J19+J17+J15+J13+J11+J21+J23</f>
        <v>88648735</v>
      </c>
      <c r="K25" s="540">
        <f>+K19+K17+K15+K13+K11+K21+K23</f>
        <v>422310</v>
      </c>
      <c r="N25" s="308"/>
      <c r="O25" s="308"/>
      <c r="P25" s="308"/>
      <c r="Q25" s="308"/>
      <c r="R25" s="308"/>
      <c r="S25" s="308"/>
      <c r="T25" s="308"/>
      <c r="U25" s="308"/>
      <c r="V25" s="308"/>
    </row>
    <row r="26" spans="1:22" s="528" customFormat="1" ht="12.75">
      <c r="A26" s="526"/>
      <c r="B26" s="537"/>
      <c r="D26" s="529"/>
      <c r="E26" s="529"/>
      <c r="F26" s="530"/>
      <c r="G26" s="536"/>
      <c r="H26" s="530"/>
      <c r="I26" s="308"/>
      <c r="J26" s="308"/>
      <c r="K26" s="308"/>
      <c r="N26" s="308"/>
      <c r="O26" s="308"/>
      <c r="P26" s="308"/>
      <c r="Q26" s="308"/>
      <c r="R26" s="308"/>
      <c r="S26" s="308"/>
      <c r="T26" s="308"/>
      <c r="U26" s="308"/>
      <c r="V26" s="308"/>
    </row>
    <row r="27" spans="1:22" s="528" customFormat="1" ht="12.75">
      <c r="A27" s="526">
        <f>+A25+1</f>
        <v>7</v>
      </c>
      <c r="B27" s="1447" t="s">
        <v>13</v>
      </c>
      <c r="C27" s="1399"/>
      <c r="D27" s="1399"/>
      <c r="E27" s="1399"/>
      <c r="F27" s="1399"/>
      <c r="G27" s="1399"/>
      <c r="H27" s="534"/>
      <c r="I27" s="552">
        <v>0</v>
      </c>
      <c r="J27" s="531">
        <f>+I27-K27</f>
        <v>0</v>
      </c>
      <c r="K27" s="552">
        <v>0</v>
      </c>
      <c r="N27" s="308"/>
      <c r="O27" s="308"/>
      <c r="P27" s="308"/>
      <c r="Q27" s="308"/>
      <c r="R27" s="308"/>
      <c r="S27" s="308"/>
      <c r="T27" s="308"/>
      <c r="U27" s="308"/>
      <c r="V27" s="308"/>
    </row>
    <row r="28" spans="1:22" s="528" customFormat="1" ht="12.75">
      <c r="A28" s="526"/>
      <c r="B28" s="1399"/>
      <c r="C28" s="1399"/>
      <c r="D28" s="1399"/>
      <c r="E28" s="1399"/>
      <c r="F28" s="1399"/>
      <c r="G28" s="1399"/>
      <c r="H28" s="530"/>
      <c r="I28" s="539"/>
      <c r="J28" s="530"/>
      <c r="K28" s="541"/>
      <c r="N28" s="308"/>
      <c r="O28" s="308"/>
      <c r="P28" s="308"/>
      <c r="Q28" s="308"/>
      <c r="R28" s="308"/>
      <c r="S28" s="308"/>
      <c r="T28" s="308"/>
      <c r="U28" s="308"/>
      <c r="V28" s="308"/>
    </row>
    <row r="29" spans="1:22" s="528" customFormat="1" ht="12.75">
      <c r="A29" s="526">
        <f>+A27+1</f>
        <v>8</v>
      </c>
      <c r="B29" s="542" t="s">
        <v>508</v>
      </c>
      <c r="D29" s="529"/>
      <c r="E29" s="529"/>
      <c r="F29" s="530"/>
      <c r="G29" s="536"/>
      <c r="H29" s="530"/>
      <c r="I29" s="543">
        <f>+I25+I27</f>
        <v>89071045</v>
      </c>
      <c r="J29" s="543">
        <f>+J25+J27</f>
        <v>88648735</v>
      </c>
      <c r="K29" s="543">
        <f>+K25+K27</f>
        <v>422310</v>
      </c>
      <c r="N29" s="308"/>
      <c r="O29" s="308"/>
      <c r="P29" s="308"/>
      <c r="Q29" s="308"/>
      <c r="R29" s="308"/>
      <c r="S29" s="308"/>
      <c r="T29" s="308"/>
      <c r="U29" s="308"/>
      <c r="V29" s="308"/>
    </row>
    <row r="30" spans="1:22" s="528" customFormat="1" ht="12.75">
      <c r="A30" s="526"/>
      <c r="B30" s="542"/>
      <c r="D30" s="529"/>
      <c r="E30" s="529"/>
      <c r="F30" s="530"/>
      <c r="G30" s="536"/>
      <c r="H30" s="530"/>
      <c r="I30" s="541"/>
      <c r="J30" s="541"/>
      <c r="K30" s="541"/>
      <c r="N30" s="308"/>
      <c r="O30" s="308"/>
      <c r="P30" s="308"/>
      <c r="Q30" s="308"/>
      <c r="R30" s="308"/>
      <c r="S30" s="308"/>
      <c r="T30" s="308"/>
      <c r="U30" s="308"/>
      <c r="V30" s="308"/>
    </row>
    <row r="31" spans="1:22" s="528" customFormat="1" ht="12.75">
      <c r="A31" s="526">
        <v>9</v>
      </c>
      <c r="B31" s="535" t="s">
        <v>559</v>
      </c>
      <c r="D31" s="529"/>
      <c r="E31" s="529"/>
      <c r="F31" s="530"/>
      <c r="G31" s="536"/>
      <c r="H31" s="530"/>
      <c r="I31" s="541"/>
      <c r="J31" s="541"/>
      <c r="K31" s="552"/>
      <c r="N31" s="308"/>
      <c r="O31" s="308"/>
      <c r="P31" s="308"/>
      <c r="Q31" s="308"/>
      <c r="R31" s="308"/>
      <c r="S31" s="308"/>
      <c r="T31" s="308"/>
      <c r="U31" s="308"/>
      <c r="V31" s="308"/>
    </row>
    <row r="32" spans="1:22" s="528" customFormat="1" ht="12.75">
      <c r="A32" s="526"/>
      <c r="B32" s="542"/>
      <c r="D32" s="529"/>
      <c r="E32" s="529"/>
      <c r="F32" s="530"/>
      <c r="G32" s="536"/>
      <c r="H32" s="530"/>
      <c r="I32" s="541"/>
      <c r="J32" s="541"/>
      <c r="K32" s="541"/>
      <c r="N32" s="308"/>
      <c r="O32" s="308"/>
      <c r="P32" s="308"/>
      <c r="Q32" s="308"/>
      <c r="R32" s="308"/>
      <c r="S32" s="308"/>
      <c r="T32" s="308"/>
      <c r="U32" s="308"/>
      <c r="V32" s="308"/>
    </row>
    <row r="33" spans="1:22" ht="15.75">
      <c r="A33" s="544"/>
      <c r="C33" s="524"/>
      <c r="D33" s="515"/>
      <c r="E33" s="515"/>
      <c r="F33" s="519"/>
      <c r="G33" s="545"/>
      <c r="H33" s="519"/>
      <c r="I33" s="546"/>
      <c r="J33" s="519"/>
      <c r="K33" s="519"/>
      <c r="L33" s="519"/>
      <c r="M33" s="547"/>
      <c r="N33" s="389"/>
      <c r="O33" s="518"/>
      <c r="P33" s="518"/>
      <c r="Q33" s="518"/>
      <c r="R33" s="518"/>
      <c r="S33" s="389"/>
      <c r="T33" s="389"/>
      <c r="U33" s="389"/>
      <c r="V33" s="389"/>
    </row>
    <row r="34" spans="1:22" s="528" customFormat="1" ht="12.75" customHeight="1">
      <c r="A34" s="205" t="s">
        <v>296</v>
      </c>
      <c r="B34" s="1446"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AEP WEST VIRGINIA TRANSMISSION COMPANY's general ledger. The functional amounts identified as transmission revenue also come from the general ledger. </v>
      </c>
      <c r="C34" s="1446"/>
      <c r="D34" s="1446"/>
      <c r="E34" s="1446"/>
      <c r="F34" s="1446"/>
      <c r="G34" s="1446"/>
      <c r="H34" s="1446"/>
      <c r="I34" s="1446"/>
      <c r="J34" s="1446"/>
      <c r="K34" s="308"/>
      <c r="L34" s="308"/>
      <c r="M34" s="308"/>
      <c r="N34" s="308"/>
      <c r="O34" s="308"/>
      <c r="P34" s="308"/>
      <c r="Q34" s="308"/>
      <c r="R34" s="308"/>
      <c r="S34" s="308"/>
      <c r="T34" s="532"/>
      <c r="U34" s="308"/>
      <c r="V34" s="308"/>
    </row>
    <row r="35" spans="1:41" s="528" customFormat="1" ht="12.75">
      <c r="A35" s="308"/>
      <c r="B35" s="1446"/>
      <c r="C35" s="1446"/>
      <c r="D35" s="1446"/>
      <c r="E35" s="1446"/>
      <c r="F35" s="1446"/>
      <c r="G35" s="1446"/>
      <c r="H35" s="1446"/>
      <c r="I35" s="1446"/>
      <c r="J35" s="1446"/>
      <c r="K35" s="308"/>
      <c r="L35" s="341"/>
      <c r="M35" s="548"/>
      <c r="N35" s="548"/>
      <c r="O35" s="548"/>
      <c r="P35" s="548"/>
      <c r="Q35" s="548"/>
      <c r="R35" s="341"/>
      <c r="S35" s="341"/>
      <c r="T35" s="341"/>
      <c r="U35" s="341"/>
      <c r="V35" s="341"/>
      <c r="W35" s="549"/>
      <c r="X35" s="549"/>
      <c r="Y35" s="549"/>
      <c r="Z35" s="549"/>
      <c r="AA35" s="549"/>
      <c r="AB35" s="549"/>
      <c r="AC35" s="549"/>
      <c r="AD35" s="549"/>
      <c r="AE35" s="549"/>
      <c r="AF35" s="549"/>
      <c r="AG35" s="549"/>
      <c r="AH35" s="549"/>
      <c r="AI35" s="549"/>
      <c r="AJ35" s="549"/>
      <c r="AK35" s="549"/>
      <c r="AL35" s="549"/>
      <c r="AM35" s="549"/>
      <c r="AN35" s="549"/>
      <c r="AO35" s="549"/>
    </row>
    <row r="36" spans="1:41" s="528" customFormat="1" ht="12.75">
      <c r="A36" s="341" t="s">
        <v>642</v>
      </c>
      <c r="B36" s="1246" t="s">
        <v>643</v>
      </c>
      <c r="C36" s="1063"/>
      <c r="D36" s="1063"/>
      <c r="E36" s="1063"/>
      <c r="F36" s="1063"/>
      <c r="G36" s="1063"/>
      <c r="H36" s="1063"/>
      <c r="I36" s="1063"/>
      <c r="J36" s="991"/>
      <c r="K36" s="548"/>
      <c r="L36" s="341"/>
      <c r="M36" s="548"/>
      <c r="N36" s="548"/>
      <c r="O36" s="548"/>
      <c r="P36" s="548"/>
      <c r="Q36" s="548"/>
      <c r="R36" s="341"/>
      <c r="S36" s="341"/>
      <c r="T36" s="341"/>
      <c r="U36" s="341"/>
      <c r="V36" s="341"/>
      <c r="W36" s="549"/>
      <c r="X36" s="549"/>
      <c r="Y36" s="549"/>
      <c r="Z36" s="549"/>
      <c r="AA36" s="549"/>
      <c r="AB36" s="549"/>
      <c r="AC36" s="549"/>
      <c r="AD36" s="549"/>
      <c r="AE36" s="549"/>
      <c r="AF36" s="549"/>
      <c r="AG36" s="549"/>
      <c r="AH36" s="549"/>
      <c r="AI36" s="549"/>
      <c r="AJ36" s="549"/>
      <c r="AK36" s="549"/>
      <c r="AL36" s="549"/>
      <c r="AM36" s="549"/>
      <c r="AN36" s="549"/>
      <c r="AO36" s="549"/>
    </row>
    <row r="37" spans="1:41" ht="15.75">
      <c r="A37" s="389"/>
      <c r="B37" s="388"/>
      <c r="E37" s="550"/>
      <c r="F37" s="550"/>
      <c r="G37" s="550"/>
      <c r="H37" s="550"/>
      <c r="I37" s="550"/>
      <c r="J37" s="550"/>
      <c r="K37" s="550"/>
      <c r="L37" s="388"/>
      <c r="M37" s="550"/>
      <c r="N37" s="550"/>
      <c r="O37" s="550"/>
      <c r="P37" s="550"/>
      <c r="Q37" s="550"/>
      <c r="R37" s="388"/>
      <c r="S37" s="388"/>
      <c r="T37" s="388"/>
      <c r="U37" s="388"/>
      <c r="V37" s="388"/>
      <c r="W37" s="551"/>
      <c r="X37" s="551"/>
      <c r="Y37" s="551"/>
      <c r="Z37" s="551"/>
      <c r="AA37" s="551"/>
      <c r="AB37" s="551"/>
      <c r="AC37" s="551"/>
      <c r="AD37" s="551"/>
      <c r="AE37" s="551"/>
      <c r="AF37" s="551"/>
      <c r="AG37" s="551"/>
      <c r="AH37" s="551"/>
      <c r="AI37" s="551"/>
      <c r="AJ37" s="551"/>
      <c r="AK37" s="551"/>
      <c r="AL37" s="551"/>
      <c r="AM37" s="551"/>
      <c r="AN37" s="551"/>
      <c r="AO37" s="551"/>
    </row>
    <row r="38" spans="1:41" ht="15.75">
      <c r="A38" s="389"/>
      <c r="B38" s="388"/>
      <c r="E38" s="550"/>
      <c r="F38" s="550"/>
      <c r="G38" s="550"/>
      <c r="H38" s="550"/>
      <c r="I38" s="550"/>
      <c r="J38" s="550"/>
      <c r="K38" s="550"/>
      <c r="L38" s="388"/>
      <c r="M38" s="550"/>
      <c r="N38" s="550"/>
      <c r="O38" s="550"/>
      <c r="P38" s="550"/>
      <c r="Q38" s="550"/>
      <c r="R38" s="388"/>
      <c r="S38" s="388"/>
      <c r="T38" s="388"/>
      <c r="U38" s="388"/>
      <c r="V38" s="388"/>
      <c r="W38" s="551"/>
      <c r="X38" s="551"/>
      <c r="Y38" s="551"/>
      <c r="Z38" s="551"/>
      <c r="AA38" s="551"/>
      <c r="AB38" s="551"/>
      <c r="AC38" s="551"/>
      <c r="AD38" s="551"/>
      <c r="AE38" s="551"/>
      <c r="AF38" s="551"/>
      <c r="AG38" s="551"/>
      <c r="AH38" s="551"/>
      <c r="AI38" s="551"/>
      <c r="AJ38" s="551"/>
      <c r="AK38" s="551"/>
      <c r="AL38" s="551"/>
      <c r="AM38" s="551"/>
      <c r="AN38" s="551"/>
      <c r="AO38" s="551"/>
    </row>
    <row r="39" spans="1:41" ht="15.75">
      <c r="A39" s="389"/>
      <c r="B39" s="388"/>
      <c r="E39" s="550"/>
      <c r="F39" s="550"/>
      <c r="G39" s="550"/>
      <c r="H39" s="550"/>
      <c r="I39" s="550"/>
      <c r="J39" s="550"/>
      <c r="K39" s="550"/>
      <c r="L39" s="388"/>
      <c r="M39" s="550"/>
      <c r="N39" s="550"/>
      <c r="O39" s="550"/>
      <c r="P39" s="550"/>
      <c r="Q39" s="550"/>
      <c r="R39" s="388"/>
      <c r="S39" s="388"/>
      <c r="T39" s="388"/>
      <c r="U39" s="388"/>
      <c r="V39" s="388"/>
      <c r="W39" s="551"/>
      <c r="X39" s="551"/>
      <c r="Y39" s="551"/>
      <c r="Z39" s="551"/>
      <c r="AA39" s="551"/>
      <c r="AB39" s="551"/>
      <c r="AC39" s="551"/>
      <c r="AD39" s="551"/>
      <c r="AE39" s="551"/>
      <c r="AF39" s="551"/>
      <c r="AG39" s="551"/>
      <c r="AH39" s="551"/>
      <c r="AI39" s="551"/>
      <c r="AJ39" s="551"/>
      <c r="AK39" s="551"/>
      <c r="AL39" s="551"/>
      <c r="AM39" s="551"/>
      <c r="AN39" s="551"/>
      <c r="AO39" s="551"/>
    </row>
    <row r="40" spans="1:41" ht="15.75">
      <c r="A40" s="389"/>
      <c r="B40" s="388"/>
      <c r="E40" s="550"/>
      <c r="F40" s="550"/>
      <c r="G40" s="550"/>
      <c r="H40" s="550"/>
      <c r="I40" s="550"/>
      <c r="J40" s="550"/>
      <c r="K40" s="550"/>
      <c r="L40" s="388"/>
      <c r="M40" s="550"/>
      <c r="N40" s="550"/>
      <c r="O40" s="550"/>
      <c r="P40" s="550"/>
      <c r="Q40" s="550"/>
      <c r="R40" s="388"/>
      <c r="S40" s="388"/>
      <c r="T40" s="388"/>
      <c r="U40" s="388"/>
      <c r="V40" s="388"/>
      <c r="W40" s="551"/>
      <c r="X40" s="551"/>
      <c r="Y40" s="551"/>
      <c r="Z40" s="551"/>
      <c r="AA40" s="551"/>
      <c r="AB40" s="551"/>
      <c r="AC40" s="551"/>
      <c r="AD40" s="551"/>
      <c r="AE40" s="551"/>
      <c r="AF40" s="551"/>
      <c r="AG40" s="551"/>
      <c r="AH40" s="551"/>
      <c r="AI40" s="551"/>
      <c r="AJ40" s="551"/>
      <c r="AK40" s="551"/>
      <c r="AL40" s="551"/>
      <c r="AM40" s="551"/>
      <c r="AN40" s="551"/>
      <c r="AO40" s="551"/>
    </row>
    <row r="41" spans="1:41" ht="15.75">
      <c r="A41" s="389"/>
      <c r="B41" s="388"/>
      <c r="E41" s="550"/>
      <c r="F41" s="550"/>
      <c r="G41" s="550"/>
      <c r="H41" s="550"/>
      <c r="I41" s="550"/>
      <c r="J41" s="550"/>
      <c r="K41" s="550"/>
      <c r="L41" s="388"/>
      <c r="M41" s="550"/>
      <c r="N41" s="550"/>
      <c r="O41" s="550"/>
      <c r="P41" s="550"/>
      <c r="Q41" s="550"/>
      <c r="R41" s="388"/>
      <c r="S41" s="388"/>
      <c r="T41" s="388"/>
      <c r="U41" s="388"/>
      <c r="V41" s="388"/>
      <c r="W41" s="551"/>
      <c r="X41" s="551"/>
      <c r="Y41" s="551"/>
      <c r="Z41" s="551"/>
      <c r="AA41" s="551"/>
      <c r="AB41" s="551"/>
      <c r="AC41" s="551"/>
      <c r="AD41" s="551"/>
      <c r="AE41" s="551"/>
      <c r="AF41" s="551"/>
      <c r="AG41" s="551"/>
      <c r="AH41" s="551"/>
      <c r="AI41" s="551"/>
      <c r="AJ41" s="551"/>
      <c r="AK41" s="551"/>
      <c r="AL41" s="551"/>
      <c r="AM41" s="551"/>
      <c r="AN41" s="551"/>
      <c r="AO41" s="551"/>
    </row>
    <row r="42" spans="1:41" ht="15.75">
      <c r="A42" s="389"/>
      <c r="B42" s="388"/>
      <c r="E42" s="550"/>
      <c r="F42" s="550"/>
      <c r="G42" s="550"/>
      <c r="H42" s="550"/>
      <c r="I42" s="550"/>
      <c r="J42" s="550"/>
      <c r="K42" s="550"/>
      <c r="L42" s="388"/>
      <c r="M42" s="550"/>
      <c r="N42" s="550"/>
      <c r="O42" s="550"/>
      <c r="P42" s="550"/>
      <c r="Q42" s="550"/>
      <c r="R42" s="388"/>
      <c r="S42" s="388"/>
      <c r="T42" s="388"/>
      <c r="U42" s="388"/>
      <c r="V42" s="388"/>
      <c r="W42" s="551"/>
      <c r="X42" s="551"/>
      <c r="Y42" s="551"/>
      <c r="Z42" s="551"/>
      <c r="AA42" s="551"/>
      <c r="AB42" s="551"/>
      <c r="AC42" s="551"/>
      <c r="AD42" s="551"/>
      <c r="AE42" s="551"/>
      <c r="AF42" s="551"/>
      <c r="AG42" s="551"/>
      <c r="AH42" s="551"/>
      <c r="AI42" s="551"/>
      <c r="AJ42" s="551"/>
      <c r="AK42" s="551"/>
      <c r="AL42" s="551"/>
      <c r="AM42" s="551"/>
      <c r="AN42" s="551"/>
      <c r="AO42" s="551"/>
    </row>
    <row r="43" spans="1:41" ht="15.75">
      <c r="A43" s="389"/>
      <c r="B43" s="388"/>
      <c r="E43" s="550"/>
      <c r="F43" s="550"/>
      <c r="G43" s="550"/>
      <c r="H43" s="550"/>
      <c r="I43" s="550"/>
      <c r="J43" s="550"/>
      <c r="K43" s="550"/>
      <c r="L43" s="388"/>
      <c r="M43" s="550"/>
      <c r="N43" s="550"/>
      <c r="O43" s="550"/>
      <c r="P43" s="550"/>
      <c r="Q43" s="550"/>
      <c r="R43" s="388"/>
      <c r="S43" s="388"/>
      <c r="T43" s="388"/>
      <c r="U43" s="388"/>
      <c r="V43" s="388"/>
      <c r="W43" s="551"/>
      <c r="X43" s="551"/>
      <c r="Y43" s="551"/>
      <c r="Z43" s="551"/>
      <c r="AA43" s="551"/>
      <c r="AB43" s="551"/>
      <c r="AC43" s="551"/>
      <c r="AD43" s="551"/>
      <c r="AE43" s="551"/>
      <c r="AF43" s="551"/>
      <c r="AG43" s="551"/>
      <c r="AH43" s="551"/>
      <c r="AI43" s="551"/>
      <c r="AJ43" s="551"/>
      <c r="AK43" s="551"/>
      <c r="AL43" s="551"/>
      <c r="AM43" s="551"/>
      <c r="AN43" s="551"/>
      <c r="AO43" s="551"/>
    </row>
    <row r="44" spans="1:41" ht="15.75">
      <c r="A44" s="389"/>
      <c r="B44" s="388"/>
      <c r="E44" s="550"/>
      <c r="F44" s="550"/>
      <c r="G44" s="550"/>
      <c r="H44" s="550"/>
      <c r="I44" s="550"/>
      <c r="J44" s="550"/>
      <c r="K44" s="550"/>
      <c r="L44" s="388"/>
      <c r="M44" s="550"/>
      <c r="N44" s="550"/>
      <c r="O44" s="550"/>
      <c r="P44" s="550"/>
      <c r="Q44" s="550"/>
      <c r="R44" s="388"/>
      <c r="S44" s="388"/>
      <c r="T44" s="388"/>
      <c r="U44" s="388"/>
      <c r="V44" s="388"/>
      <c r="W44" s="551"/>
      <c r="X44" s="551"/>
      <c r="Y44" s="551"/>
      <c r="Z44" s="551"/>
      <c r="AA44" s="551"/>
      <c r="AB44" s="551"/>
      <c r="AC44" s="551"/>
      <c r="AD44" s="551"/>
      <c r="AE44" s="551"/>
      <c r="AF44" s="551"/>
      <c r="AG44" s="551"/>
      <c r="AH44" s="551"/>
      <c r="AI44" s="551"/>
      <c r="AJ44" s="551"/>
      <c r="AK44" s="551"/>
      <c r="AL44" s="551"/>
      <c r="AM44" s="551"/>
      <c r="AN44" s="551"/>
      <c r="AO44" s="551"/>
    </row>
    <row r="45" spans="1:41" ht="15.75">
      <c r="A45" s="389"/>
      <c r="B45" s="388"/>
      <c r="E45" s="550"/>
      <c r="F45" s="550"/>
      <c r="G45" s="550"/>
      <c r="H45" s="550"/>
      <c r="I45" s="550"/>
      <c r="J45" s="550"/>
      <c r="K45" s="550"/>
      <c r="L45" s="388"/>
      <c r="M45" s="550"/>
      <c r="N45" s="550"/>
      <c r="O45" s="550"/>
      <c r="P45" s="550"/>
      <c r="Q45" s="550"/>
      <c r="R45" s="388"/>
      <c r="S45" s="388"/>
      <c r="T45" s="388"/>
      <c r="U45" s="388"/>
      <c r="V45" s="388"/>
      <c r="W45" s="551"/>
      <c r="X45" s="551"/>
      <c r="Y45" s="551"/>
      <c r="Z45" s="551"/>
      <c r="AA45" s="551"/>
      <c r="AB45" s="551"/>
      <c r="AC45" s="551"/>
      <c r="AD45" s="551"/>
      <c r="AE45" s="551"/>
      <c r="AF45" s="551"/>
      <c r="AG45" s="551"/>
      <c r="AH45" s="551"/>
      <c r="AI45" s="551"/>
      <c r="AJ45" s="551"/>
      <c r="AK45" s="551"/>
      <c r="AL45" s="551"/>
      <c r="AM45" s="551"/>
      <c r="AN45" s="551"/>
      <c r="AO45" s="551"/>
    </row>
    <row r="46" spans="1:41" ht="15.75">
      <c r="A46" s="389"/>
      <c r="B46" s="388"/>
      <c r="E46" s="550"/>
      <c r="F46" s="550"/>
      <c r="G46" s="550"/>
      <c r="H46" s="550"/>
      <c r="I46" s="550"/>
      <c r="J46" s="550"/>
      <c r="K46" s="550"/>
      <c r="L46" s="388"/>
      <c r="M46" s="550"/>
      <c r="N46" s="550"/>
      <c r="O46" s="550"/>
      <c r="P46" s="550"/>
      <c r="Q46" s="550"/>
      <c r="R46" s="388"/>
      <c r="S46" s="388"/>
      <c r="T46" s="388"/>
      <c r="U46" s="388"/>
      <c r="V46" s="388"/>
      <c r="W46" s="551"/>
      <c r="X46" s="551"/>
      <c r="Y46" s="551"/>
      <c r="Z46" s="551"/>
      <c r="AA46" s="551"/>
      <c r="AB46" s="551"/>
      <c r="AC46" s="551"/>
      <c r="AD46" s="551"/>
      <c r="AE46" s="551"/>
      <c r="AF46" s="551"/>
      <c r="AG46" s="551"/>
      <c r="AH46" s="551"/>
      <c r="AI46" s="551"/>
      <c r="AJ46" s="551"/>
      <c r="AK46" s="551"/>
      <c r="AL46" s="551"/>
      <c r="AM46" s="551"/>
      <c r="AN46" s="551"/>
      <c r="AO46" s="551"/>
    </row>
    <row r="47" spans="9:41" ht="15.75">
      <c r="I47" s="550"/>
      <c r="J47" s="550"/>
      <c r="K47" s="550"/>
      <c r="L47" s="388"/>
      <c r="M47" s="550"/>
      <c r="N47" s="550"/>
      <c r="O47" s="550"/>
      <c r="P47" s="550"/>
      <c r="Q47" s="550"/>
      <c r="R47" s="388"/>
      <c r="S47" s="388"/>
      <c r="T47" s="388"/>
      <c r="U47" s="388"/>
      <c r="V47" s="388"/>
      <c r="W47" s="551"/>
      <c r="X47" s="551"/>
      <c r="Y47" s="551"/>
      <c r="Z47" s="551"/>
      <c r="AA47" s="551"/>
      <c r="AB47" s="551"/>
      <c r="AC47" s="551"/>
      <c r="AD47" s="551"/>
      <c r="AE47" s="551"/>
      <c r="AF47" s="551"/>
      <c r="AG47" s="551"/>
      <c r="AH47" s="551"/>
      <c r="AI47" s="551"/>
      <c r="AJ47" s="551"/>
      <c r="AK47" s="551"/>
      <c r="AL47" s="551"/>
      <c r="AM47" s="551"/>
      <c r="AN47" s="551"/>
      <c r="AO47" s="551"/>
    </row>
    <row r="48" spans="1:41" ht="15.75">
      <c r="A48" s="389"/>
      <c r="B48" s="388"/>
      <c r="E48" s="550"/>
      <c r="F48" s="550"/>
      <c r="G48" s="550"/>
      <c r="H48" s="550"/>
      <c r="I48" s="550"/>
      <c r="J48" s="550"/>
      <c r="K48" s="550"/>
      <c r="L48" s="388"/>
      <c r="M48" s="550"/>
      <c r="N48" s="550"/>
      <c r="O48" s="550"/>
      <c r="P48" s="550"/>
      <c r="Q48" s="550"/>
      <c r="R48" s="388"/>
      <c r="S48" s="388"/>
      <c r="T48" s="388"/>
      <c r="U48" s="388"/>
      <c r="V48" s="388"/>
      <c r="W48" s="551"/>
      <c r="X48" s="551"/>
      <c r="Y48" s="551"/>
      <c r="Z48" s="551"/>
      <c r="AA48" s="551"/>
      <c r="AB48" s="551"/>
      <c r="AC48" s="551"/>
      <c r="AD48" s="551"/>
      <c r="AE48" s="551"/>
      <c r="AF48" s="551"/>
      <c r="AG48" s="551"/>
      <c r="AH48" s="551"/>
      <c r="AI48" s="551"/>
      <c r="AJ48" s="551"/>
      <c r="AK48" s="551"/>
      <c r="AL48" s="551"/>
      <c r="AM48" s="551"/>
      <c r="AN48" s="551"/>
      <c r="AO48" s="551"/>
    </row>
    <row r="49" spans="1:41" ht="15.75">
      <c r="A49" s="389"/>
      <c r="B49" s="388"/>
      <c r="E49" s="550"/>
      <c r="F49" s="550"/>
      <c r="G49" s="550"/>
      <c r="H49" s="550"/>
      <c r="I49" s="550"/>
      <c r="J49" s="550"/>
      <c r="K49" s="550"/>
      <c r="L49" s="388"/>
      <c r="M49" s="550"/>
      <c r="N49" s="550"/>
      <c r="O49" s="550"/>
      <c r="P49" s="550"/>
      <c r="Q49" s="550"/>
      <c r="R49" s="388"/>
      <c r="S49" s="388"/>
      <c r="T49" s="388"/>
      <c r="U49" s="388"/>
      <c r="V49" s="388"/>
      <c r="W49" s="551"/>
      <c r="X49" s="551"/>
      <c r="Y49" s="551"/>
      <c r="Z49" s="551"/>
      <c r="AA49" s="551"/>
      <c r="AB49" s="551"/>
      <c r="AC49" s="551"/>
      <c r="AD49" s="551"/>
      <c r="AE49" s="551"/>
      <c r="AF49" s="551"/>
      <c r="AG49" s="551"/>
      <c r="AH49" s="551"/>
      <c r="AI49" s="551"/>
      <c r="AJ49" s="551"/>
      <c r="AK49" s="551"/>
      <c r="AL49" s="551"/>
      <c r="AM49" s="551"/>
      <c r="AN49" s="551"/>
      <c r="AO49" s="551"/>
    </row>
    <row r="50" spans="1:41" ht="15.75">
      <c r="A50" s="389"/>
      <c r="B50" s="388"/>
      <c r="E50" s="550"/>
      <c r="F50" s="550"/>
      <c r="G50" s="550"/>
      <c r="H50" s="550"/>
      <c r="I50" s="550"/>
      <c r="J50" s="550"/>
      <c r="K50" s="550"/>
      <c r="L50" s="388"/>
      <c r="M50" s="550"/>
      <c r="N50" s="550"/>
      <c r="O50" s="550"/>
      <c r="P50" s="550"/>
      <c r="Q50" s="550"/>
      <c r="R50" s="388"/>
      <c r="S50" s="388"/>
      <c r="T50" s="388"/>
      <c r="U50" s="388"/>
      <c r="V50" s="388"/>
      <c r="W50" s="551"/>
      <c r="X50" s="551"/>
      <c r="Y50" s="551"/>
      <c r="Z50" s="551"/>
      <c r="AA50" s="551"/>
      <c r="AB50" s="551"/>
      <c r="AC50" s="551"/>
      <c r="AD50" s="551"/>
      <c r="AE50" s="551"/>
      <c r="AF50" s="551"/>
      <c r="AG50" s="551"/>
      <c r="AH50" s="551"/>
      <c r="AI50" s="551"/>
      <c r="AJ50" s="551"/>
      <c r="AK50" s="551"/>
      <c r="AL50" s="551"/>
      <c r="AM50" s="551"/>
      <c r="AN50" s="551"/>
      <c r="AO50" s="551"/>
    </row>
    <row r="51" spans="1:41" ht="15.75">
      <c r="A51" s="389"/>
      <c r="B51" s="388"/>
      <c r="E51" s="550"/>
      <c r="F51" s="550"/>
      <c r="G51" s="550"/>
      <c r="H51" s="550"/>
      <c r="I51" s="550"/>
      <c r="J51" s="550"/>
      <c r="K51" s="550"/>
      <c r="L51" s="388"/>
      <c r="M51" s="550"/>
      <c r="N51" s="550"/>
      <c r="O51" s="550"/>
      <c r="P51" s="550"/>
      <c r="Q51" s="550"/>
      <c r="R51" s="388"/>
      <c r="S51" s="388"/>
      <c r="T51" s="388"/>
      <c r="U51" s="388"/>
      <c r="V51" s="388"/>
      <c r="W51" s="551"/>
      <c r="X51" s="551"/>
      <c r="Y51" s="551"/>
      <c r="Z51" s="551"/>
      <c r="AA51" s="551"/>
      <c r="AB51" s="551"/>
      <c r="AC51" s="551"/>
      <c r="AD51" s="551"/>
      <c r="AE51" s="551"/>
      <c r="AF51" s="551"/>
      <c r="AG51" s="551"/>
      <c r="AH51" s="551"/>
      <c r="AI51" s="551"/>
      <c r="AJ51" s="551"/>
      <c r="AK51" s="551"/>
      <c r="AL51" s="551"/>
      <c r="AM51" s="551"/>
      <c r="AN51" s="551"/>
      <c r="AO51" s="551"/>
    </row>
    <row r="52" spans="1:41" ht="15.75">
      <c r="A52" s="389"/>
      <c r="B52" s="388"/>
      <c r="E52" s="550"/>
      <c r="F52" s="550"/>
      <c r="G52" s="550"/>
      <c r="H52" s="550"/>
      <c r="I52" s="550"/>
      <c r="J52" s="550"/>
      <c r="K52" s="550"/>
      <c r="L52" s="388"/>
      <c r="M52" s="550"/>
      <c r="N52" s="550"/>
      <c r="O52" s="550"/>
      <c r="P52" s="550"/>
      <c r="Q52" s="550"/>
      <c r="R52" s="388"/>
      <c r="S52" s="388"/>
      <c r="T52" s="388"/>
      <c r="U52" s="388"/>
      <c r="V52" s="388"/>
      <c r="W52" s="551"/>
      <c r="X52" s="551"/>
      <c r="Y52" s="551"/>
      <c r="Z52" s="551"/>
      <c r="AA52" s="551"/>
      <c r="AB52" s="551"/>
      <c r="AC52" s="551"/>
      <c r="AD52" s="551"/>
      <c r="AE52" s="551"/>
      <c r="AF52" s="551"/>
      <c r="AG52" s="551"/>
      <c r="AH52" s="551"/>
      <c r="AI52" s="551"/>
      <c r="AJ52" s="551"/>
      <c r="AK52" s="551"/>
      <c r="AL52" s="551"/>
      <c r="AM52" s="551"/>
      <c r="AN52" s="551"/>
      <c r="AO52" s="551"/>
    </row>
    <row r="53" spans="1:41" ht="15.75">
      <c r="A53" s="389"/>
      <c r="B53" s="388"/>
      <c r="E53" s="550"/>
      <c r="F53" s="550"/>
      <c r="G53" s="550"/>
      <c r="H53" s="550"/>
      <c r="I53" s="550"/>
      <c r="J53" s="550"/>
      <c r="K53" s="550"/>
      <c r="L53" s="388"/>
      <c r="M53" s="550"/>
      <c r="N53" s="550"/>
      <c r="O53" s="550"/>
      <c r="P53" s="550"/>
      <c r="Q53" s="550"/>
      <c r="R53" s="388"/>
      <c r="S53" s="388"/>
      <c r="T53" s="388"/>
      <c r="U53" s="388"/>
      <c r="V53" s="388"/>
      <c r="W53" s="551"/>
      <c r="X53" s="551"/>
      <c r="Y53" s="551"/>
      <c r="Z53" s="551"/>
      <c r="AA53" s="551"/>
      <c r="AB53" s="551"/>
      <c r="AC53" s="551"/>
      <c r="AD53" s="551"/>
      <c r="AE53" s="551"/>
      <c r="AF53" s="551"/>
      <c r="AG53" s="551"/>
      <c r="AH53" s="551"/>
      <c r="AI53" s="551"/>
      <c r="AJ53" s="551"/>
      <c r="AK53" s="551"/>
      <c r="AL53" s="551"/>
      <c r="AM53" s="551"/>
      <c r="AN53" s="551"/>
      <c r="AO53" s="551"/>
    </row>
    <row r="54" spans="1:41" ht="15.75">
      <c r="A54" s="389"/>
      <c r="B54" s="388"/>
      <c r="E54" s="550"/>
      <c r="F54" s="550"/>
      <c r="G54" s="550"/>
      <c r="H54" s="550"/>
      <c r="I54" s="550"/>
      <c r="J54" s="550"/>
      <c r="K54" s="550"/>
      <c r="L54" s="388"/>
      <c r="M54" s="550"/>
      <c r="N54" s="550"/>
      <c r="O54" s="550"/>
      <c r="P54" s="550"/>
      <c r="Q54" s="550"/>
      <c r="R54" s="388"/>
      <c r="S54" s="388"/>
      <c r="T54" s="388"/>
      <c r="U54" s="388"/>
      <c r="V54" s="388"/>
      <c r="W54" s="551"/>
      <c r="X54" s="551"/>
      <c r="Y54" s="551"/>
      <c r="Z54" s="551"/>
      <c r="AA54" s="551"/>
      <c r="AB54" s="551"/>
      <c r="AC54" s="551"/>
      <c r="AD54" s="551"/>
      <c r="AE54" s="551"/>
      <c r="AF54" s="551"/>
      <c r="AG54" s="551"/>
      <c r="AH54" s="551"/>
      <c r="AI54" s="551"/>
      <c r="AJ54" s="551"/>
      <c r="AK54" s="551"/>
      <c r="AL54" s="551"/>
      <c r="AM54" s="551"/>
      <c r="AN54" s="551"/>
      <c r="AO54" s="551"/>
    </row>
    <row r="55" spans="1:41" ht="15.75">
      <c r="A55" s="389"/>
      <c r="B55" s="388"/>
      <c r="E55" s="550"/>
      <c r="F55" s="550"/>
      <c r="G55" s="550"/>
      <c r="H55" s="550"/>
      <c r="I55" s="550"/>
      <c r="J55" s="550"/>
      <c r="K55" s="550"/>
      <c r="L55" s="388"/>
      <c r="M55" s="550"/>
      <c r="N55" s="550"/>
      <c r="O55" s="550"/>
      <c r="P55" s="550"/>
      <c r="Q55" s="550"/>
      <c r="R55" s="388"/>
      <c r="S55" s="388"/>
      <c r="T55" s="388"/>
      <c r="U55" s="388"/>
      <c r="V55" s="388"/>
      <c r="W55" s="551"/>
      <c r="X55" s="551"/>
      <c r="Y55" s="551"/>
      <c r="Z55" s="551"/>
      <c r="AA55" s="551"/>
      <c r="AB55" s="551"/>
      <c r="AC55" s="551"/>
      <c r="AD55" s="551"/>
      <c r="AE55" s="551"/>
      <c r="AF55" s="551"/>
      <c r="AG55" s="551"/>
      <c r="AH55" s="551"/>
      <c r="AI55" s="551"/>
      <c r="AJ55" s="551"/>
      <c r="AK55" s="551"/>
      <c r="AL55" s="551"/>
      <c r="AM55" s="551"/>
      <c r="AN55" s="551"/>
      <c r="AO55" s="551"/>
    </row>
    <row r="56" spans="1:41" ht="15.75">
      <c r="A56" s="389"/>
      <c r="B56" s="388"/>
      <c r="E56" s="550"/>
      <c r="F56" s="550"/>
      <c r="G56" s="550"/>
      <c r="H56" s="550"/>
      <c r="I56" s="550"/>
      <c r="J56" s="550"/>
      <c r="K56" s="550"/>
      <c r="L56" s="388"/>
      <c r="M56" s="550"/>
      <c r="N56" s="550"/>
      <c r="O56" s="550"/>
      <c r="P56" s="550"/>
      <c r="Q56" s="550"/>
      <c r="R56" s="388"/>
      <c r="S56" s="388"/>
      <c r="T56" s="388"/>
      <c r="U56" s="388"/>
      <c r="V56" s="388"/>
      <c r="W56" s="551"/>
      <c r="X56" s="551"/>
      <c r="Y56" s="551"/>
      <c r="Z56" s="551"/>
      <c r="AA56" s="551"/>
      <c r="AB56" s="551"/>
      <c r="AC56" s="551"/>
      <c r="AD56" s="551"/>
      <c r="AE56" s="551"/>
      <c r="AF56" s="551"/>
      <c r="AG56" s="551"/>
      <c r="AH56" s="551"/>
      <c r="AI56" s="551"/>
      <c r="AJ56" s="551"/>
      <c r="AK56" s="551"/>
      <c r="AL56" s="551"/>
      <c r="AM56" s="551"/>
      <c r="AN56" s="551"/>
      <c r="AO56" s="551"/>
    </row>
    <row r="57" spans="1:41" ht="15.75">
      <c r="A57" s="389"/>
      <c r="B57" s="388"/>
      <c r="E57" s="550"/>
      <c r="F57" s="550"/>
      <c r="G57" s="550"/>
      <c r="H57" s="550"/>
      <c r="I57" s="550"/>
      <c r="J57" s="550"/>
      <c r="K57" s="550"/>
      <c r="L57" s="388"/>
      <c r="M57" s="550"/>
      <c r="N57" s="550"/>
      <c r="O57" s="550"/>
      <c r="P57" s="550"/>
      <c r="Q57" s="550"/>
      <c r="R57" s="388"/>
      <c r="S57" s="388"/>
      <c r="T57" s="388"/>
      <c r="U57" s="388"/>
      <c r="V57" s="388"/>
      <c r="W57" s="551"/>
      <c r="X57" s="551"/>
      <c r="Y57" s="551"/>
      <c r="Z57" s="551"/>
      <c r="AA57" s="551"/>
      <c r="AB57" s="551"/>
      <c r="AC57" s="551"/>
      <c r="AD57" s="551"/>
      <c r="AE57" s="551"/>
      <c r="AF57" s="551"/>
      <c r="AG57" s="551"/>
      <c r="AH57" s="551"/>
      <c r="AI57" s="551"/>
      <c r="AJ57" s="551"/>
      <c r="AK57" s="551"/>
      <c r="AL57" s="551"/>
      <c r="AM57" s="551"/>
      <c r="AN57" s="551"/>
      <c r="AO57" s="551"/>
    </row>
    <row r="58" spans="1:41" ht="15.75">
      <c r="A58" s="389"/>
      <c r="B58" s="388"/>
      <c r="E58" s="550"/>
      <c r="F58" s="550"/>
      <c r="G58" s="550"/>
      <c r="H58" s="550"/>
      <c r="I58" s="550"/>
      <c r="J58" s="550"/>
      <c r="K58" s="550"/>
      <c r="L58" s="388"/>
      <c r="M58" s="550"/>
      <c r="N58" s="550"/>
      <c r="O58" s="550"/>
      <c r="P58" s="550"/>
      <c r="Q58" s="550"/>
      <c r="R58" s="388"/>
      <c r="S58" s="388"/>
      <c r="T58" s="388"/>
      <c r="U58" s="388"/>
      <c r="V58" s="388"/>
      <c r="W58" s="551"/>
      <c r="X58" s="551"/>
      <c r="Y58" s="551"/>
      <c r="Z58" s="551"/>
      <c r="AA58" s="551"/>
      <c r="AB58" s="551"/>
      <c r="AC58" s="551"/>
      <c r="AD58" s="551"/>
      <c r="AE58" s="551"/>
      <c r="AF58" s="551"/>
      <c r="AG58" s="551"/>
      <c r="AH58" s="551"/>
      <c r="AI58" s="551"/>
      <c r="AJ58" s="551"/>
      <c r="AK58" s="551"/>
      <c r="AL58" s="551"/>
      <c r="AM58" s="551"/>
      <c r="AN58" s="551"/>
      <c r="AO58" s="551"/>
    </row>
    <row r="59" spans="1:41" ht="15.75">
      <c r="A59" s="389"/>
      <c r="B59" s="388"/>
      <c r="E59" s="550"/>
      <c r="F59" s="550"/>
      <c r="G59" s="550"/>
      <c r="H59" s="550"/>
      <c r="I59" s="550"/>
      <c r="J59" s="550"/>
      <c r="K59" s="550"/>
      <c r="L59" s="388"/>
      <c r="M59" s="550"/>
      <c r="N59" s="550"/>
      <c r="O59" s="550"/>
      <c r="P59" s="550"/>
      <c r="Q59" s="550"/>
      <c r="R59" s="388"/>
      <c r="S59" s="388"/>
      <c r="T59" s="388"/>
      <c r="U59" s="388"/>
      <c r="V59" s="388"/>
      <c r="W59" s="551"/>
      <c r="X59" s="551"/>
      <c r="Y59" s="551"/>
      <c r="Z59" s="551"/>
      <c r="AA59" s="551"/>
      <c r="AB59" s="551"/>
      <c r="AC59" s="551"/>
      <c r="AD59" s="551"/>
      <c r="AE59" s="551"/>
      <c r="AF59" s="551"/>
      <c r="AG59" s="551"/>
      <c r="AH59" s="551"/>
      <c r="AI59" s="551"/>
      <c r="AJ59" s="551"/>
      <c r="AK59" s="551"/>
      <c r="AL59" s="551"/>
      <c r="AM59" s="551"/>
      <c r="AN59" s="551"/>
      <c r="AO59" s="551"/>
    </row>
    <row r="60" spans="1:41" ht="15.75">
      <c r="A60" s="389"/>
      <c r="B60" s="388"/>
      <c r="E60" s="550"/>
      <c r="F60" s="550"/>
      <c r="G60" s="550"/>
      <c r="H60" s="550"/>
      <c r="I60" s="550"/>
      <c r="J60" s="550"/>
      <c r="K60" s="550"/>
      <c r="L60" s="388"/>
      <c r="M60" s="550"/>
      <c r="N60" s="550"/>
      <c r="O60" s="550"/>
      <c r="P60" s="550"/>
      <c r="Q60" s="550"/>
      <c r="R60" s="388"/>
      <c r="S60" s="388"/>
      <c r="T60" s="388"/>
      <c r="U60" s="388"/>
      <c r="V60" s="388"/>
      <c r="W60" s="551"/>
      <c r="X60" s="551"/>
      <c r="Y60" s="551"/>
      <c r="Z60" s="551"/>
      <c r="AA60" s="551"/>
      <c r="AB60" s="551"/>
      <c r="AC60" s="551"/>
      <c r="AD60" s="551"/>
      <c r="AE60" s="551"/>
      <c r="AF60" s="551"/>
      <c r="AG60" s="551"/>
      <c r="AH60" s="551"/>
      <c r="AI60" s="551"/>
      <c r="AJ60" s="551"/>
      <c r="AK60" s="551"/>
      <c r="AL60" s="551"/>
      <c r="AM60" s="551"/>
      <c r="AN60" s="551"/>
      <c r="AO60" s="551"/>
    </row>
    <row r="61" spans="1:41" ht="15.75">
      <c r="A61" s="389"/>
      <c r="B61" s="388"/>
      <c r="E61" s="550"/>
      <c r="F61" s="550"/>
      <c r="G61" s="550"/>
      <c r="H61" s="550"/>
      <c r="I61" s="550"/>
      <c r="J61" s="550"/>
      <c r="K61" s="550"/>
      <c r="L61" s="388"/>
      <c r="M61" s="550"/>
      <c r="N61" s="550"/>
      <c r="O61" s="550"/>
      <c r="P61" s="550"/>
      <c r="Q61" s="550"/>
      <c r="R61" s="388"/>
      <c r="S61" s="388"/>
      <c r="T61" s="388"/>
      <c r="U61" s="388"/>
      <c r="V61" s="388"/>
      <c r="W61" s="551"/>
      <c r="X61" s="551"/>
      <c r="Y61" s="551"/>
      <c r="Z61" s="551"/>
      <c r="AA61" s="551"/>
      <c r="AB61" s="551"/>
      <c r="AC61" s="551"/>
      <c r="AD61" s="551"/>
      <c r="AE61" s="551"/>
      <c r="AF61" s="551"/>
      <c r="AG61" s="551"/>
      <c r="AH61" s="551"/>
      <c r="AI61" s="551"/>
      <c r="AJ61" s="551"/>
      <c r="AK61" s="551"/>
      <c r="AL61" s="551"/>
      <c r="AM61" s="551"/>
      <c r="AN61" s="551"/>
      <c r="AO61" s="551"/>
    </row>
    <row r="62" spans="1:41" ht="15.75">
      <c r="A62" s="389"/>
      <c r="B62" s="388"/>
      <c r="E62" s="550"/>
      <c r="F62" s="550"/>
      <c r="G62" s="550"/>
      <c r="H62" s="550"/>
      <c r="I62" s="550"/>
      <c r="J62" s="550"/>
      <c r="K62" s="550"/>
      <c r="L62" s="388"/>
      <c r="M62" s="550"/>
      <c r="N62" s="550"/>
      <c r="O62" s="550"/>
      <c r="P62" s="550"/>
      <c r="Q62" s="550"/>
      <c r="R62" s="388"/>
      <c r="S62" s="388"/>
      <c r="T62" s="388"/>
      <c r="U62" s="388"/>
      <c r="V62" s="388"/>
      <c r="W62" s="551"/>
      <c r="X62" s="551"/>
      <c r="Y62" s="551"/>
      <c r="Z62" s="551"/>
      <c r="AA62" s="551"/>
      <c r="AB62" s="551"/>
      <c r="AC62" s="551"/>
      <c r="AD62" s="551"/>
      <c r="AE62" s="551"/>
      <c r="AF62" s="551"/>
      <c r="AG62" s="551"/>
      <c r="AH62" s="551"/>
      <c r="AI62" s="551"/>
      <c r="AJ62" s="551"/>
      <c r="AK62" s="551"/>
      <c r="AL62" s="551"/>
      <c r="AM62" s="551"/>
      <c r="AN62" s="551"/>
      <c r="AO62" s="551"/>
    </row>
    <row r="63" spans="1:41" ht="15.75">
      <c r="A63" s="389"/>
      <c r="B63" s="388"/>
      <c r="E63" s="550"/>
      <c r="F63" s="550"/>
      <c r="G63" s="550"/>
      <c r="H63" s="550"/>
      <c r="I63" s="550"/>
      <c r="J63" s="550"/>
      <c r="K63" s="550"/>
      <c r="L63" s="388"/>
      <c r="M63" s="550"/>
      <c r="N63" s="550"/>
      <c r="O63" s="550"/>
      <c r="P63" s="550"/>
      <c r="Q63" s="550"/>
      <c r="R63" s="388"/>
      <c r="S63" s="388"/>
      <c r="T63" s="388"/>
      <c r="U63" s="388"/>
      <c r="V63" s="388"/>
      <c r="W63" s="551"/>
      <c r="X63" s="551"/>
      <c r="Y63" s="551"/>
      <c r="Z63" s="551"/>
      <c r="AA63" s="551"/>
      <c r="AB63" s="551"/>
      <c r="AC63" s="551"/>
      <c r="AD63" s="551"/>
      <c r="AE63" s="551"/>
      <c r="AF63" s="551"/>
      <c r="AG63" s="551"/>
      <c r="AH63" s="551"/>
      <c r="AI63" s="551"/>
      <c r="AJ63" s="551"/>
      <c r="AK63" s="551"/>
      <c r="AL63" s="551"/>
      <c r="AM63" s="551"/>
      <c r="AN63" s="551"/>
      <c r="AO63" s="551"/>
    </row>
    <row r="64" spans="1:41" ht="15.75">
      <c r="A64" s="389"/>
      <c r="B64" s="388"/>
      <c r="E64" s="550"/>
      <c r="F64" s="550"/>
      <c r="G64" s="550"/>
      <c r="H64" s="550"/>
      <c r="I64" s="550"/>
      <c r="J64" s="550"/>
      <c r="K64" s="550"/>
      <c r="L64" s="388"/>
      <c r="M64" s="550"/>
      <c r="N64" s="550"/>
      <c r="O64" s="550"/>
      <c r="P64" s="550"/>
      <c r="Q64" s="550"/>
      <c r="R64" s="388"/>
      <c r="S64" s="388"/>
      <c r="T64" s="388"/>
      <c r="U64" s="388"/>
      <c r="V64" s="388"/>
      <c r="W64" s="551"/>
      <c r="X64" s="551"/>
      <c r="Y64" s="551"/>
      <c r="Z64" s="551"/>
      <c r="AA64" s="551"/>
      <c r="AB64" s="551"/>
      <c r="AC64" s="551"/>
      <c r="AD64" s="551"/>
      <c r="AE64" s="551"/>
      <c r="AF64" s="551"/>
      <c r="AG64" s="551"/>
      <c r="AH64" s="551"/>
      <c r="AI64" s="551"/>
      <c r="AJ64" s="551"/>
      <c r="AK64" s="551"/>
      <c r="AL64" s="551"/>
      <c r="AM64" s="551"/>
      <c r="AN64" s="551"/>
      <c r="AO64" s="551"/>
    </row>
    <row r="65" spans="1:41" ht="15.75">
      <c r="A65" s="389"/>
      <c r="B65" s="388"/>
      <c r="E65" s="550"/>
      <c r="F65" s="550"/>
      <c r="G65" s="550"/>
      <c r="H65" s="550"/>
      <c r="I65" s="550"/>
      <c r="J65" s="550"/>
      <c r="K65" s="550"/>
      <c r="L65" s="388"/>
      <c r="M65" s="550"/>
      <c r="N65" s="550"/>
      <c r="O65" s="550"/>
      <c r="P65" s="550"/>
      <c r="Q65" s="550"/>
      <c r="R65" s="388"/>
      <c r="S65" s="388"/>
      <c r="T65" s="388"/>
      <c r="U65" s="388"/>
      <c r="V65" s="388"/>
      <c r="W65" s="551"/>
      <c r="X65" s="551"/>
      <c r="Y65" s="551"/>
      <c r="Z65" s="551"/>
      <c r="AA65" s="551"/>
      <c r="AB65" s="551"/>
      <c r="AC65" s="551"/>
      <c r="AD65" s="551"/>
      <c r="AE65" s="551"/>
      <c r="AF65" s="551"/>
      <c r="AG65" s="551"/>
      <c r="AH65" s="551"/>
      <c r="AI65" s="551"/>
      <c r="AJ65" s="551"/>
      <c r="AK65" s="551"/>
      <c r="AL65" s="551"/>
      <c r="AM65" s="551"/>
      <c r="AN65" s="551"/>
      <c r="AO65" s="551"/>
    </row>
    <row r="66" spans="1:41" ht="15.75">
      <c r="A66" s="389"/>
      <c r="B66" s="388"/>
      <c r="E66" s="550"/>
      <c r="F66" s="550"/>
      <c r="G66" s="550"/>
      <c r="H66" s="550"/>
      <c r="I66" s="550"/>
      <c r="J66" s="550"/>
      <c r="K66" s="550"/>
      <c r="L66" s="388"/>
      <c r="M66" s="550"/>
      <c r="N66" s="550"/>
      <c r="O66" s="550"/>
      <c r="P66" s="550"/>
      <c r="Q66" s="550"/>
      <c r="R66" s="388"/>
      <c r="S66" s="388"/>
      <c r="T66" s="388"/>
      <c r="U66" s="388"/>
      <c r="V66" s="388"/>
      <c r="W66" s="551"/>
      <c r="X66" s="551"/>
      <c r="Y66" s="551"/>
      <c r="Z66" s="551"/>
      <c r="AA66" s="551"/>
      <c r="AB66" s="551"/>
      <c r="AC66" s="551"/>
      <c r="AD66" s="551"/>
      <c r="AE66" s="551"/>
      <c r="AF66" s="551"/>
      <c r="AG66" s="551"/>
      <c r="AH66" s="551"/>
      <c r="AI66" s="551"/>
      <c r="AJ66" s="551"/>
      <c r="AK66" s="551"/>
      <c r="AL66" s="551"/>
      <c r="AM66" s="551"/>
      <c r="AN66" s="551"/>
      <c r="AO66" s="551"/>
    </row>
    <row r="67" spans="1:41" ht="15.75">
      <c r="A67" s="389"/>
      <c r="B67" s="388"/>
      <c r="E67" s="550"/>
      <c r="F67" s="550"/>
      <c r="G67" s="550"/>
      <c r="H67" s="550"/>
      <c r="I67" s="550"/>
      <c r="J67" s="550"/>
      <c r="K67" s="550"/>
      <c r="L67" s="388"/>
      <c r="M67" s="550"/>
      <c r="N67" s="550"/>
      <c r="O67" s="550"/>
      <c r="P67" s="550"/>
      <c r="Q67" s="550"/>
      <c r="R67" s="388"/>
      <c r="S67" s="388"/>
      <c r="T67" s="388"/>
      <c r="U67" s="388"/>
      <c r="V67" s="388"/>
      <c r="W67" s="551"/>
      <c r="X67" s="551"/>
      <c r="Y67" s="551"/>
      <c r="Z67" s="551"/>
      <c r="AA67" s="551"/>
      <c r="AB67" s="551"/>
      <c r="AC67" s="551"/>
      <c r="AD67" s="551"/>
      <c r="AE67" s="551"/>
      <c r="AF67" s="551"/>
      <c r="AG67" s="551"/>
      <c r="AH67" s="551"/>
      <c r="AI67" s="551"/>
      <c r="AJ67" s="551"/>
      <c r="AK67" s="551"/>
      <c r="AL67" s="551"/>
      <c r="AM67" s="551"/>
      <c r="AN67" s="551"/>
      <c r="AO67" s="551"/>
    </row>
    <row r="68" spans="1:41" ht="15.75">
      <c r="A68" s="389"/>
      <c r="B68" s="388"/>
      <c r="E68" s="550"/>
      <c r="F68" s="550"/>
      <c r="G68" s="550"/>
      <c r="H68" s="550"/>
      <c r="I68" s="550"/>
      <c r="J68" s="550"/>
      <c r="K68" s="550"/>
      <c r="L68" s="388"/>
      <c r="M68" s="550"/>
      <c r="N68" s="550"/>
      <c r="O68" s="550"/>
      <c r="P68" s="550"/>
      <c r="Q68" s="550"/>
      <c r="R68" s="388"/>
      <c r="S68" s="388"/>
      <c r="T68" s="388"/>
      <c r="U68" s="388"/>
      <c r="V68" s="388"/>
      <c r="W68" s="551"/>
      <c r="X68" s="551"/>
      <c r="Y68" s="551"/>
      <c r="Z68" s="551"/>
      <c r="AA68" s="551"/>
      <c r="AB68" s="551"/>
      <c r="AC68" s="551"/>
      <c r="AD68" s="551"/>
      <c r="AE68" s="551"/>
      <c r="AF68" s="551"/>
      <c r="AG68" s="551"/>
      <c r="AH68" s="551"/>
      <c r="AI68" s="551"/>
      <c r="AJ68" s="551"/>
      <c r="AK68" s="551"/>
      <c r="AL68" s="551"/>
      <c r="AM68" s="551"/>
      <c r="AN68" s="551"/>
      <c r="AO68" s="551"/>
    </row>
    <row r="69" spans="1:41" ht="15.75">
      <c r="A69" s="389"/>
      <c r="B69" s="388"/>
      <c r="E69" s="550"/>
      <c r="F69" s="550"/>
      <c r="G69" s="550"/>
      <c r="H69" s="550"/>
      <c r="I69" s="550"/>
      <c r="J69" s="550"/>
      <c r="K69" s="550"/>
      <c r="L69" s="388"/>
      <c r="M69" s="550"/>
      <c r="N69" s="550"/>
      <c r="O69" s="550"/>
      <c r="P69" s="550"/>
      <c r="Q69" s="550"/>
      <c r="R69" s="388"/>
      <c r="S69" s="388"/>
      <c r="T69" s="388"/>
      <c r="U69" s="388"/>
      <c r="V69" s="388"/>
      <c r="W69" s="551"/>
      <c r="X69" s="551"/>
      <c r="Y69" s="551"/>
      <c r="Z69" s="551"/>
      <c r="AA69" s="551"/>
      <c r="AB69" s="551"/>
      <c r="AC69" s="551"/>
      <c r="AD69" s="551"/>
      <c r="AE69" s="551"/>
      <c r="AF69" s="551"/>
      <c r="AG69" s="551"/>
      <c r="AH69" s="551"/>
      <c r="AI69" s="551"/>
      <c r="AJ69" s="551"/>
      <c r="AK69" s="551"/>
      <c r="AL69" s="551"/>
      <c r="AM69" s="551"/>
      <c r="AN69" s="551"/>
      <c r="AO69" s="551"/>
    </row>
    <row r="70" spans="1:41" ht="15.75">
      <c r="A70" s="389"/>
      <c r="B70" s="388"/>
      <c r="E70" s="550"/>
      <c r="F70" s="550"/>
      <c r="G70" s="550"/>
      <c r="H70" s="550"/>
      <c r="I70" s="550"/>
      <c r="J70" s="550"/>
      <c r="K70" s="550"/>
      <c r="L70" s="388"/>
      <c r="M70" s="550"/>
      <c r="N70" s="550"/>
      <c r="O70" s="550"/>
      <c r="P70" s="550"/>
      <c r="Q70" s="550"/>
      <c r="R70" s="388"/>
      <c r="S70" s="388"/>
      <c r="T70" s="388"/>
      <c r="U70" s="388"/>
      <c r="V70" s="388"/>
      <c r="W70" s="551"/>
      <c r="X70" s="551"/>
      <c r="Y70" s="551"/>
      <c r="Z70" s="551"/>
      <c r="AA70" s="551"/>
      <c r="AB70" s="551"/>
      <c r="AC70" s="551"/>
      <c r="AD70" s="551"/>
      <c r="AE70" s="551"/>
      <c r="AF70" s="551"/>
      <c r="AG70" s="551"/>
      <c r="AH70" s="551"/>
      <c r="AI70" s="551"/>
      <c r="AJ70" s="551"/>
      <c r="AK70" s="551"/>
      <c r="AL70" s="551"/>
      <c r="AM70" s="551"/>
      <c r="AN70" s="551"/>
      <c r="AO70" s="551"/>
    </row>
    <row r="71" spans="1:41" ht="15.75">
      <c r="A71" s="389"/>
      <c r="B71" s="388"/>
      <c r="E71" s="550"/>
      <c r="F71" s="550"/>
      <c r="G71" s="550"/>
      <c r="H71" s="550"/>
      <c r="I71" s="550"/>
      <c r="J71" s="550"/>
      <c r="K71" s="550"/>
      <c r="L71" s="388"/>
      <c r="M71" s="550"/>
      <c r="N71" s="550"/>
      <c r="O71" s="550"/>
      <c r="P71" s="550"/>
      <c r="Q71" s="550"/>
      <c r="R71" s="388"/>
      <c r="S71" s="388"/>
      <c r="T71" s="388"/>
      <c r="U71" s="388"/>
      <c r="V71" s="388"/>
      <c r="W71" s="551"/>
      <c r="X71" s="551"/>
      <c r="Y71" s="551"/>
      <c r="Z71" s="551"/>
      <c r="AA71" s="551"/>
      <c r="AB71" s="551"/>
      <c r="AC71" s="551"/>
      <c r="AD71" s="551"/>
      <c r="AE71" s="551"/>
      <c r="AF71" s="551"/>
      <c r="AG71" s="551"/>
      <c r="AH71" s="551"/>
      <c r="AI71" s="551"/>
      <c r="AJ71" s="551"/>
      <c r="AK71" s="551"/>
      <c r="AL71" s="551"/>
      <c r="AM71" s="551"/>
      <c r="AN71" s="551"/>
      <c r="AO71" s="551"/>
    </row>
    <row r="72" spans="1:41" ht="15.75">
      <c r="A72" s="389"/>
      <c r="B72" s="388"/>
      <c r="E72" s="550"/>
      <c r="F72" s="550"/>
      <c r="G72" s="550"/>
      <c r="H72" s="550"/>
      <c r="I72" s="550"/>
      <c r="J72" s="550"/>
      <c r="K72" s="550"/>
      <c r="L72" s="388"/>
      <c r="M72" s="550"/>
      <c r="N72" s="550"/>
      <c r="O72" s="550"/>
      <c r="P72" s="550"/>
      <c r="Q72" s="550"/>
      <c r="R72" s="388"/>
      <c r="S72" s="388"/>
      <c r="T72" s="388"/>
      <c r="U72" s="388"/>
      <c r="V72" s="388"/>
      <c r="W72" s="551"/>
      <c r="X72" s="551"/>
      <c r="Y72" s="551"/>
      <c r="Z72" s="551"/>
      <c r="AA72" s="551"/>
      <c r="AB72" s="551"/>
      <c r="AC72" s="551"/>
      <c r="AD72" s="551"/>
      <c r="AE72" s="551"/>
      <c r="AF72" s="551"/>
      <c r="AG72" s="551"/>
      <c r="AH72" s="551"/>
      <c r="AI72" s="551"/>
      <c r="AJ72" s="551"/>
      <c r="AK72" s="551"/>
      <c r="AL72" s="551"/>
      <c r="AM72" s="551"/>
      <c r="AN72" s="551"/>
      <c r="AO72" s="551"/>
    </row>
    <row r="73" spans="1:41" ht="15.75">
      <c r="A73" s="389"/>
      <c r="B73" s="388"/>
      <c r="E73" s="550"/>
      <c r="F73" s="550"/>
      <c r="G73" s="550"/>
      <c r="H73" s="550"/>
      <c r="I73" s="550"/>
      <c r="J73" s="550"/>
      <c r="K73" s="550"/>
      <c r="L73" s="388"/>
      <c r="M73" s="550"/>
      <c r="N73" s="550"/>
      <c r="O73" s="550"/>
      <c r="P73" s="550"/>
      <c r="Q73" s="550"/>
      <c r="R73" s="388"/>
      <c r="S73" s="388"/>
      <c r="T73" s="388"/>
      <c r="U73" s="388"/>
      <c r="V73" s="388"/>
      <c r="W73" s="551"/>
      <c r="X73" s="551"/>
      <c r="Y73" s="551"/>
      <c r="Z73" s="551"/>
      <c r="AA73" s="551"/>
      <c r="AB73" s="551"/>
      <c r="AC73" s="551"/>
      <c r="AD73" s="551"/>
      <c r="AE73" s="551"/>
      <c r="AF73" s="551"/>
      <c r="AG73" s="551"/>
      <c r="AH73" s="551"/>
      <c r="AI73" s="551"/>
      <c r="AJ73" s="551"/>
      <c r="AK73" s="551"/>
      <c r="AL73" s="551"/>
      <c r="AM73" s="551"/>
      <c r="AN73" s="551"/>
      <c r="AO73" s="551"/>
    </row>
    <row r="74" spans="1:41" ht="15.75">
      <c r="A74" s="389"/>
      <c r="B74" s="388"/>
      <c r="E74" s="550"/>
      <c r="F74" s="550"/>
      <c r="G74" s="550"/>
      <c r="H74" s="550"/>
      <c r="I74" s="550"/>
      <c r="J74" s="550"/>
      <c r="K74" s="550"/>
      <c r="L74" s="388"/>
      <c r="M74" s="550"/>
      <c r="N74" s="550"/>
      <c r="O74" s="550"/>
      <c r="P74" s="550"/>
      <c r="Q74" s="550"/>
      <c r="R74" s="388"/>
      <c r="S74" s="388"/>
      <c r="T74" s="388"/>
      <c r="U74" s="388"/>
      <c r="V74" s="388"/>
      <c r="W74" s="551"/>
      <c r="X74" s="551"/>
      <c r="Y74" s="551"/>
      <c r="Z74" s="551"/>
      <c r="AA74" s="551"/>
      <c r="AB74" s="551"/>
      <c r="AC74" s="551"/>
      <c r="AD74" s="551"/>
      <c r="AE74" s="551"/>
      <c r="AF74" s="551"/>
      <c r="AG74" s="551"/>
      <c r="AH74" s="551"/>
      <c r="AI74" s="551"/>
      <c r="AJ74" s="551"/>
      <c r="AK74" s="551"/>
      <c r="AL74" s="551"/>
      <c r="AM74" s="551"/>
      <c r="AN74" s="551"/>
      <c r="AO74" s="551"/>
    </row>
    <row r="75" spans="1:41" ht="15.75">
      <c r="A75" s="389"/>
      <c r="B75" s="388"/>
      <c r="E75" s="550"/>
      <c r="F75" s="550"/>
      <c r="G75" s="550"/>
      <c r="H75" s="550"/>
      <c r="I75" s="550"/>
      <c r="J75" s="550"/>
      <c r="K75" s="550"/>
      <c r="L75" s="388"/>
      <c r="M75" s="550"/>
      <c r="N75" s="550"/>
      <c r="O75" s="550"/>
      <c r="P75" s="550"/>
      <c r="Q75" s="550"/>
      <c r="R75" s="388"/>
      <c r="S75" s="388"/>
      <c r="T75" s="388"/>
      <c r="U75" s="388"/>
      <c r="V75" s="388"/>
      <c r="W75" s="551"/>
      <c r="X75" s="551"/>
      <c r="Y75" s="551"/>
      <c r="Z75" s="551"/>
      <c r="AA75" s="551"/>
      <c r="AB75" s="551"/>
      <c r="AC75" s="551"/>
      <c r="AD75" s="551"/>
      <c r="AE75" s="551"/>
      <c r="AF75" s="551"/>
      <c r="AG75" s="551"/>
      <c r="AH75" s="551"/>
      <c r="AI75" s="551"/>
      <c r="AJ75" s="551"/>
      <c r="AK75" s="551"/>
      <c r="AL75" s="551"/>
      <c r="AM75" s="551"/>
      <c r="AN75" s="551"/>
      <c r="AO75" s="551"/>
    </row>
    <row r="76" spans="1:41" ht="15.75">
      <c r="A76" s="389"/>
      <c r="B76" s="388"/>
      <c r="E76" s="550"/>
      <c r="F76" s="550"/>
      <c r="G76" s="550"/>
      <c r="H76" s="550"/>
      <c r="I76" s="550"/>
      <c r="J76" s="550"/>
      <c r="K76" s="550"/>
      <c r="L76" s="388"/>
      <c r="M76" s="550"/>
      <c r="N76" s="550"/>
      <c r="O76" s="550"/>
      <c r="P76" s="550"/>
      <c r="Q76" s="550"/>
      <c r="R76" s="388"/>
      <c r="S76" s="388"/>
      <c r="T76" s="388"/>
      <c r="U76" s="388"/>
      <c r="V76" s="388"/>
      <c r="W76" s="551"/>
      <c r="X76" s="551"/>
      <c r="Y76" s="551"/>
      <c r="Z76" s="551"/>
      <c r="AA76" s="551"/>
      <c r="AB76" s="551"/>
      <c r="AC76" s="551"/>
      <c r="AD76" s="551"/>
      <c r="AE76" s="551"/>
      <c r="AF76" s="551"/>
      <c r="AG76" s="551"/>
      <c r="AH76" s="551"/>
      <c r="AI76" s="551"/>
      <c r="AJ76" s="551"/>
      <c r="AK76" s="551"/>
      <c r="AL76" s="551"/>
      <c r="AM76" s="551"/>
      <c r="AN76" s="551"/>
      <c r="AO76" s="551"/>
    </row>
    <row r="77" spans="1:41" ht="15.75">
      <c r="A77" s="389"/>
      <c r="B77" s="388"/>
      <c r="E77" s="550"/>
      <c r="F77" s="550"/>
      <c r="G77" s="550"/>
      <c r="H77" s="550"/>
      <c r="I77" s="550"/>
      <c r="J77" s="550"/>
      <c r="K77" s="550"/>
      <c r="L77" s="388"/>
      <c r="M77" s="550"/>
      <c r="N77" s="550"/>
      <c r="O77" s="550"/>
      <c r="P77" s="550"/>
      <c r="Q77" s="550"/>
      <c r="R77" s="388"/>
      <c r="S77" s="388"/>
      <c r="T77" s="388"/>
      <c r="U77" s="388"/>
      <c r="V77" s="388"/>
      <c r="W77" s="551"/>
      <c r="X77" s="551"/>
      <c r="Y77" s="551"/>
      <c r="Z77" s="551"/>
      <c r="AA77" s="551"/>
      <c r="AB77" s="551"/>
      <c r="AC77" s="551"/>
      <c r="AD77" s="551"/>
      <c r="AE77" s="551"/>
      <c r="AF77" s="551"/>
      <c r="AG77" s="551"/>
      <c r="AH77" s="551"/>
      <c r="AI77" s="551"/>
      <c r="AJ77" s="551"/>
      <c r="AK77" s="551"/>
      <c r="AL77" s="551"/>
      <c r="AM77" s="551"/>
      <c r="AN77" s="551"/>
      <c r="AO77" s="551"/>
    </row>
    <row r="78" spans="1:41" ht="15.75">
      <c r="A78" s="389"/>
      <c r="B78" s="388"/>
      <c r="E78" s="550"/>
      <c r="F78" s="550"/>
      <c r="G78" s="550"/>
      <c r="H78" s="550"/>
      <c r="I78" s="550"/>
      <c r="J78" s="550"/>
      <c r="K78" s="550"/>
      <c r="L78" s="388"/>
      <c r="M78" s="550"/>
      <c r="N78" s="550"/>
      <c r="O78" s="550"/>
      <c r="P78" s="550"/>
      <c r="Q78" s="550"/>
      <c r="R78" s="388"/>
      <c r="S78" s="388"/>
      <c r="T78" s="388"/>
      <c r="U78" s="388"/>
      <c r="V78" s="388"/>
      <c r="W78" s="551"/>
      <c r="X78" s="551"/>
      <c r="Y78" s="551"/>
      <c r="Z78" s="551"/>
      <c r="AA78" s="551"/>
      <c r="AB78" s="551"/>
      <c r="AC78" s="551"/>
      <c r="AD78" s="551"/>
      <c r="AE78" s="551"/>
      <c r="AF78" s="551"/>
      <c r="AG78" s="551"/>
      <c r="AH78" s="551"/>
      <c r="AI78" s="551"/>
      <c r="AJ78" s="551"/>
      <c r="AK78" s="551"/>
      <c r="AL78" s="551"/>
      <c r="AM78" s="551"/>
      <c r="AN78" s="551"/>
      <c r="AO78" s="551"/>
    </row>
    <row r="79" spans="1:41" ht="15.75">
      <c r="A79" s="389"/>
      <c r="B79" s="388"/>
      <c r="E79" s="550"/>
      <c r="F79" s="550"/>
      <c r="G79" s="550"/>
      <c r="H79" s="550"/>
      <c r="I79" s="550"/>
      <c r="J79" s="550"/>
      <c r="K79" s="550"/>
      <c r="L79" s="388"/>
      <c r="M79" s="550"/>
      <c r="N79" s="550"/>
      <c r="O79" s="550"/>
      <c r="P79" s="550"/>
      <c r="Q79" s="550"/>
      <c r="R79" s="388"/>
      <c r="S79" s="388"/>
      <c r="T79" s="388"/>
      <c r="U79" s="388"/>
      <c r="V79" s="388"/>
      <c r="W79" s="551"/>
      <c r="X79" s="551"/>
      <c r="Y79" s="551"/>
      <c r="Z79" s="551"/>
      <c r="AA79" s="551"/>
      <c r="AB79" s="551"/>
      <c r="AC79" s="551"/>
      <c r="AD79" s="551"/>
      <c r="AE79" s="551"/>
      <c r="AF79" s="551"/>
      <c r="AG79" s="551"/>
      <c r="AH79" s="551"/>
      <c r="AI79" s="551"/>
      <c r="AJ79" s="551"/>
      <c r="AK79" s="551"/>
      <c r="AL79" s="551"/>
      <c r="AM79" s="551"/>
      <c r="AN79" s="551"/>
      <c r="AO79" s="551"/>
    </row>
    <row r="80" spans="1:41" ht="15.75">
      <c r="A80" s="389"/>
      <c r="B80" s="388"/>
      <c r="E80" s="550"/>
      <c r="F80" s="550"/>
      <c r="G80" s="550"/>
      <c r="H80" s="550"/>
      <c r="I80" s="550"/>
      <c r="J80" s="550"/>
      <c r="K80" s="550"/>
      <c r="L80" s="388"/>
      <c r="M80" s="550"/>
      <c r="N80" s="550"/>
      <c r="O80" s="550"/>
      <c r="P80" s="550"/>
      <c r="Q80" s="550"/>
      <c r="R80" s="388"/>
      <c r="S80" s="388"/>
      <c r="T80" s="388"/>
      <c r="U80" s="388"/>
      <c r="V80" s="388"/>
      <c r="W80" s="551"/>
      <c r="X80" s="551"/>
      <c r="Y80" s="551"/>
      <c r="Z80" s="551"/>
      <c r="AA80" s="551"/>
      <c r="AB80" s="551"/>
      <c r="AC80" s="551"/>
      <c r="AD80" s="551"/>
      <c r="AE80" s="551"/>
      <c r="AF80" s="551"/>
      <c r="AG80" s="551"/>
      <c r="AH80" s="551"/>
      <c r="AI80" s="551"/>
      <c r="AJ80" s="551"/>
      <c r="AK80" s="551"/>
      <c r="AL80" s="551"/>
      <c r="AM80" s="551"/>
      <c r="AN80" s="551"/>
      <c r="AO80" s="551"/>
    </row>
    <row r="81" spans="1:41" ht="15.75">
      <c r="A81" s="389"/>
      <c r="B81" s="388"/>
      <c r="E81" s="550"/>
      <c r="F81" s="550"/>
      <c r="G81" s="550"/>
      <c r="H81" s="550"/>
      <c r="I81" s="550"/>
      <c r="J81" s="550"/>
      <c r="K81" s="550"/>
      <c r="L81" s="388"/>
      <c r="M81" s="550"/>
      <c r="N81" s="550"/>
      <c r="O81" s="550"/>
      <c r="P81" s="550"/>
      <c r="Q81" s="550"/>
      <c r="R81" s="388"/>
      <c r="S81" s="388"/>
      <c r="T81" s="388"/>
      <c r="U81" s="388"/>
      <c r="V81" s="388"/>
      <c r="W81" s="551"/>
      <c r="X81" s="551"/>
      <c r="Y81" s="551"/>
      <c r="Z81" s="551"/>
      <c r="AA81" s="551"/>
      <c r="AB81" s="551"/>
      <c r="AC81" s="551"/>
      <c r="AD81" s="551"/>
      <c r="AE81" s="551"/>
      <c r="AF81" s="551"/>
      <c r="AG81" s="551"/>
      <c r="AH81" s="551"/>
      <c r="AI81" s="551"/>
      <c r="AJ81" s="551"/>
      <c r="AK81" s="551"/>
      <c r="AL81" s="551"/>
      <c r="AM81" s="551"/>
      <c r="AN81" s="551"/>
      <c r="AO81" s="551"/>
    </row>
    <row r="82" spans="1:41" ht="15.75">
      <c r="A82" s="389"/>
      <c r="B82" s="388"/>
      <c r="E82" s="550"/>
      <c r="F82" s="550"/>
      <c r="G82" s="550"/>
      <c r="H82" s="550"/>
      <c r="I82" s="550"/>
      <c r="J82" s="550"/>
      <c r="K82" s="550"/>
      <c r="L82" s="388"/>
      <c r="M82" s="550"/>
      <c r="N82" s="550"/>
      <c r="O82" s="550"/>
      <c r="P82" s="550"/>
      <c r="Q82" s="550"/>
      <c r="R82" s="388"/>
      <c r="S82" s="388"/>
      <c r="T82" s="388"/>
      <c r="U82" s="388"/>
      <c r="V82" s="388"/>
      <c r="W82" s="551"/>
      <c r="X82" s="551"/>
      <c r="Y82" s="551"/>
      <c r="Z82" s="551"/>
      <c r="AA82" s="551"/>
      <c r="AB82" s="551"/>
      <c r="AC82" s="551"/>
      <c r="AD82" s="551"/>
      <c r="AE82" s="551"/>
      <c r="AF82" s="551"/>
      <c r="AG82" s="551"/>
      <c r="AH82" s="551"/>
      <c r="AI82" s="551"/>
      <c r="AJ82" s="551"/>
      <c r="AK82" s="551"/>
      <c r="AL82" s="551"/>
      <c r="AM82" s="551"/>
      <c r="AN82" s="551"/>
      <c r="AO82" s="551"/>
    </row>
    <row r="83" spans="1:41" ht="15.75">
      <c r="A83" s="389"/>
      <c r="B83" s="388"/>
      <c r="E83" s="550"/>
      <c r="F83" s="550"/>
      <c r="G83" s="550"/>
      <c r="H83" s="550"/>
      <c r="I83" s="550"/>
      <c r="J83" s="550"/>
      <c r="K83" s="550"/>
      <c r="L83" s="388"/>
      <c r="M83" s="550"/>
      <c r="N83" s="550"/>
      <c r="O83" s="550"/>
      <c r="P83" s="550"/>
      <c r="Q83" s="550"/>
      <c r="R83" s="388"/>
      <c r="S83" s="388"/>
      <c r="T83" s="388"/>
      <c r="U83" s="388"/>
      <c r="V83" s="388"/>
      <c r="W83" s="551"/>
      <c r="X83" s="551"/>
      <c r="Y83" s="551"/>
      <c r="Z83" s="551"/>
      <c r="AA83" s="551"/>
      <c r="AB83" s="551"/>
      <c r="AC83" s="551"/>
      <c r="AD83" s="551"/>
      <c r="AE83" s="551"/>
      <c r="AF83" s="551"/>
      <c r="AG83" s="551"/>
      <c r="AH83" s="551"/>
      <c r="AI83" s="551"/>
      <c r="AJ83" s="551"/>
      <c r="AK83" s="551"/>
      <c r="AL83" s="551"/>
      <c r="AM83" s="551"/>
      <c r="AN83" s="551"/>
      <c r="AO83" s="551"/>
    </row>
    <row r="84" spans="1:41" ht="15.75">
      <c r="A84" s="389"/>
      <c r="B84" s="388"/>
      <c r="E84" s="550"/>
      <c r="F84" s="550"/>
      <c r="G84" s="550"/>
      <c r="H84" s="550"/>
      <c r="I84" s="550"/>
      <c r="J84" s="550"/>
      <c r="K84" s="550"/>
      <c r="L84" s="388"/>
      <c r="M84" s="550"/>
      <c r="N84" s="550"/>
      <c r="O84" s="550"/>
      <c r="P84" s="550"/>
      <c r="Q84" s="550"/>
      <c r="R84" s="388"/>
      <c r="S84" s="388"/>
      <c r="T84" s="388"/>
      <c r="U84" s="388"/>
      <c r="V84" s="388"/>
      <c r="W84" s="551"/>
      <c r="X84" s="551"/>
      <c r="Y84" s="551"/>
      <c r="Z84" s="551"/>
      <c r="AA84" s="551"/>
      <c r="AB84" s="551"/>
      <c r="AC84" s="551"/>
      <c r="AD84" s="551"/>
      <c r="AE84" s="551"/>
      <c r="AF84" s="551"/>
      <c r="AG84" s="551"/>
      <c r="AH84" s="551"/>
      <c r="AI84" s="551"/>
      <c r="AJ84" s="551"/>
      <c r="AK84" s="551"/>
      <c r="AL84" s="551"/>
      <c r="AM84" s="551"/>
      <c r="AN84" s="551"/>
      <c r="AO84" s="551"/>
    </row>
    <row r="85" spans="1:41" ht="15.75">
      <c r="A85" s="389"/>
      <c r="B85" s="388"/>
      <c r="E85" s="550"/>
      <c r="F85" s="550"/>
      <c r="G85" s="550"/>
      <c r="H85" s="550"/>
      <c r="I85" s="550"/>
      <c r="J85" s="550"/>
      <c r="K85" s="550"/>
      <c r="L85" s="388"/>
      <c r="M85" s="550"/>
      <c r="N85" s="550"/>
      <c r="O85" s="550"/>
      <c r="P85" s="550"/>
      <c r="Q85" s="550"/>
      <c r="R85" s="388"/>
      <c r="S85" s="388"/>
      <c r="T85" s="388"/>
      <c r="U85" s="388"/>
      <c r="V85" s="388"/>
      <c r="W85" s="551"/>
      <c r="X85" s="551"/>
      <c r="Y85" s="551"/>
      <c r="Z85" s="551"/>
      <c r="AA85" s="551"/>
      <c r="AB85" s="551"/>
      <c r="AC85" s="551"/>
      <c r="AD85" s="551"/>
      <c r="AE85" s="551"/>
      <c r="AF85" s="551"/>
      <c r="AG85" s="551"/>
      <c r="AH85" s="551"/>
      <c r="AI85" s="551"/>
      <c r="AJ85" s="551"/>
      <c r="AK85" s="551"/>
      <c r="AL85" s="551"/>
      <c r="AM85" s="551"/>
      <c r="AN85" s="551"/>
      <c r="AO85" s="551"/>
    </row>
    <row r="86" spans="1:41" ht="15.75">
      <c r="A86" s="389"/>
      <c r="B86" s="388"/>
      <c r="E86" s="550"/>
      <c r="F86" s="550"/>
      <c r="G86" s="550"/>
      <c r="H86" s="550"/>
      <c r="I86" s="550"/>
      <c r="J86" s="550"/>
      <c r="K86" s="550"/>
      <c r="L86" s="388"/>
      <c r="M86" s="550"/>
      <c r="N86" s="550"/>
      <c r="O86" s="550"/>
      <c r="P86" s="550"/>
      <c r="Q86" s="550"/>
      <c r="R86" s="388"/>
      <c r="S86" s="388"/>
      <c r="T86" s="388"/>
      <c r="U86" s="388"/>
      <c r="V86" s="388"/>
      <c r="W86" s="551"/>
      <c r="X86" s="551"/>
      <c r="Y86" s="551"/>
      <c r="Z86" s="551"/>
      <c r="AA86" s="551"/>
      <c r="AB86" s="551"/>
      <c r="AC86" s="551"/>
      <c r="AD86" s="551"/>
      <c r="AE86" s="551"/>
      <c r="AF86" s="551"/>
      <c r="AG86" s="551"/>
      <c r="AH86" s="551"/>
      <c r="AI86" s="551"/>
      <c r="AJ86" s="551"/>
      <c r="AK86" s="551"/>
      <c r="AL86" s="551"/>
      <c r="AM86" s="551"/>
      <c r="AN86" s="551"/>
      <c r="AO86" s="551"/>
    </row>
    <row r="87" spans="1:41" ht="15.75">
      <c r="A87" s="389"/>
      <c r="B87" s="388"/>
      <c r="E87" s="550"/>
      <c r="F87" s="550"/>
      <c r="G87" s="550"/>
      <c r="H87" s="550"/>
      <c r="I87" s="550"/>
      <c r="J87" s="550"/>
      <c r="K87" s="550"/>
      <c r="L87" s="388"/>
      <c r="M87" s="550"/>
      <c r="N87" s="550"/>
      <c r="O87" s="550"/>
      <c r="P87" s="550"/>
      <c r="Q87" s="550"/>
      <c r="R87" s="388"/>
      <c r="S87" s="388"/>
      <c r="T87" s="388"/>
      <c r="U87" s="388"/>
      <c r="V87" s="388"/>
      <c r="W87" s="551"/>
      <c r="X87" s="551"/>
      <c r="Y87" s="551"/>
      <c r="Z87" s="551"/>
      <c r="AA87" s="551"/>
      <c r="AB87" s="551"/>
      <c r="AC87" s="551"/>
      <c r="AD87" s="551"/>
      <c r="AE87" s="551"/>
      <c r="AF87" s="551"/>
      <c r="AG87" s="551"/>
      <c r="AH87" s="551"/>
      <c r="AI87" s="551"/>
      <c r="AJ87" s="551"/>
      <c r="AK87" s="551"/>
      <c r="AL87" s="551"/>
      <c r="AM87" s="551"/>
      <c r="AN87" s="551"/>
      <c r="AO87" s="551"/>
    </row>
    <row r="88" spans="1:41" ht="15.75">
      <c r="A88" s="389"/>
      <c r="B88" s="388"/>
      <c r="E88" s="550"/>
      <c r="F88" s="550"/>
      <c r="G88" s="550"/>
      <c r="H88" s="550"/>
      <c r="I88" s="550"/>
      <c r="J88" s="550"/>
      <c r="K88" s="550"/>
      <c r="L88" s="388"/>
      <c r="M88" s="550"/>
      <c r="N88" s="550"/>
      <c r="O88" s="550"/>
      <c r="P88" s="550"/>
      <c r="Q88" s="550"/>
      <c r="R88" s="388"/>
      <c r="S88" s="388"/>
      <c r="T88" s="388"/>
      <c r="U88" s="388"/>
      <c r="V88" s="388"/>
      <c r="W88" s="551"/>
      <c r="X88" s="551"/>
      <c r="Y88" s="551"/>
      <c r="Z88" s="551"/>
      <c r="AA88" s="551"/>
      <c r="AB88" s="551"/>
      <c r="AC88" s="551"/>
      <c r="AD88" s="551"/>
      <c r="AE88" s="551"/>
      <c r="AF88" s="551"/>
      <c r="AG88" s="551"/>
      <c r="AH88" s="551"/>
      <c r="AI88" s="551"/>
      <c r="AJ88" s="551"/>
      <c r="AK88" s="551"/>
      <c r="AL88" s="551"/>
      <c r="AM88" s="551"/>
      <c r="AN88" s="551"/>
      <c r="AO88" s="551"/>
    </row>
    <row r="89" spans="1:41" ht="15.75">
      <c r="A89" s="389"/>
      <c r="B89" s="388"/>
      <c r="E89" s="550"/>
      <c r="F89" s="550"/>
      <c r="G89" s="550"/>
      <c r="H89" s="550"/>
      <c r="I89" s="550"/>
      <c r="J89" s="550"/>
      <c r="K89" s="550"/>
      <c r="L89" s="388"/>
      <c r="M89" s="550"/>
      <c r="N89" s="550"/>
      <c r="O89" s="550"/>
      <c r="P89" s="550"/>
      <c r="Q89" s="550"/>
      <c r="R89" s="388"/>
      <c r="S89" s="388"/>
      <c r="T89" s="388"/>
      <c r="U89" s="388"/>
      <c r="V89" s="388"/>
      <c r="W89" s="551"/>
      <c r="X89" s="551"/>
      <c r="Y89" s="551"/>
      <c r="Z89" s="551"/>
      <c r="AA89" s="551"/>
      <c r="AB89" s="551"/>
      <c r="AC89" s="551"/>
      <c r="AD89" s="551"/>
      <c r="AE89" s="551"/>
      <c r="AF89" s="551"/>
      <c r="AG89" s="551"/>
      <c r="AH89" s="551"/>
      <c r="AI89" s="551"/>
      <c r="AJ89" s="551"/>
      <c r="AK89" s="551"/>
      <c r="AL89" s="551"/>
      <c r="AM89" s="551"/>
      <c r="AN89" s="551"/>
      <c r="AO89" s="551"/>
    </row>
    <row r="90" spans="1:41" ht="15.75">
      <c r="A90" s="389"/>
      <c r="B90" s="388"/>
      <c r="E90" s="550"/>
      <c r="F90" s="550"/>
      <c r="G90" s="550"/>
      <c r="H90" s="550"/>
      <c r="I90" s="550"/>
      <c r="J90" s="550"/>
      <c r="K90" s="550"/>
      <c r="L90" s="388"/>
      <c r="M90" s="550"/>
      <c r="N90" s="550"/>
      <c r="O90" s="550"/>
      <c r="P90" s="550"/>
      <c r="Q90" s="550"/>
      <c r="R90" s="388"/>
      <c r="S90" s="388"/>
      <c r="T90" s="388"/>
      <c r="U90" s="388"/>
      <c r="V90" s="388"/>
      <c r="W90" s="551"/>
      <c r="X90" s="551"/>
      <c r="Y90" s="551"/>
      <c r="Z90" s="551"/>
      <c r="AA90" s="551"/>
      <c r="AB90" s="551"/>
      <c r="AC90" s="551"/>
      <c r="AD90" s="551"/>
      <c r="AE90" s="551"/>
      <c r="AF90" s="551"/>
      <c r="AG90" s="551"/>
      <c r="AH90" s="551"/>
      <c r="AI90" s="551"/>
      <c r="AJ90" s="551"/>
      <c r="AK90" s="551"/>
      <c r="AL90" s="551"/>
      <c r="AM90" s="551"/>
      <c r="AN90" s="551"/>
      <c r="AO90" s="551"/>
    </row>
    <row r="91" spans="1:41" ht="15.75">
      <c r="A91" s="389"/>
      <c r="B91" s="388"/>
      <c r="E91" s="550"/>
      <c r="F91" s="550"/>
      <c r="G91" s="550"/>
      <c r="H91" s="550"/>
      <c r="I91" s="550"/>
      <c r="J91" s="550"/>
      <c r="K91" s="550"/>
      <c r="L91" s="388"/>
      <c r="M91" s="550"/>
      <c r="N91" s="550"/>
      <c r="O91" s="550"/>
      <c r="P91" s="550"/>
      <c r="Q91" s="550"/>
      <c r="R91" s="388"/>
      <c r="S91" s="388"/>
      <c r="T91" s="388"/>
      <c r="U91" s="388"/>
      <c r="V91" s="388"/>
      <c r="W91" s="551"/>
      <c r="X91" s="551"/>
      <c r="Y91" s="551"/>
      <c r="Z91" s="551"/>
      <c r="AA91" s="551"/>
      <c r="AB91" s="551"/>
      <c r="AC91" s="551"/>
      <c r="AD91" s="551"/>
      <c r="AE91" s="551"/>
      <c r="AF91" s="551"/>
      <c r="AG91" s="551"/>
      <c r="AH91" s="551"/>
      <c r="AI91" s="551"/>
      <c r="AJ91" s="551"/>
      <c r="AK91" s="551"/>
      <c r="AL91" s="551"/>
      <c r="AM91" s="551"/>
      <c r="AN91" s="551"/>
      <c r="AO91" s="551"/>
    </row>
    <row r="92" spans="1:41" ht="15.75">
      <c r="A92" s="389"/>
      <c r="B92" s="388"/>
      <c r="E92" s="550"/>
      <c r="F92" s="550"/>
      <c r="G92" s="550"/>
      <c r="H92" s="550"/>
      <c r="I92" s="550"/>
      <c r="J92" s="550"/>
      <c r="K92" s="550"/>
      <c r="L92" s="388"/>
      <c r="M92" s="550"/>
      <c r="N92" s="550"/>
      <c r="O92" s="550"/>
      <c r="P92" s="550"/>
      <c r="Q92" s="550"/>
      <c r="R92" s="388"/>
      <c r="S92" s="388"/>
      <c r="T92" s="388"/>
      <c r="U92" s="388"/>
      <c r="V92" s="388"/>
      <c r="W92" s="551"/>
      <c r="X92" s="551"/>
      <c r="Y92" s="551"/>
      <c r="Z92" s="551"/>
      <c r="AA92" s="551"/>
      <c r="AB92" s="551"/>
      <c r="AC92" s="551"/>
      <c r="AD92" s="551"/>
      <c r="AE92" s="551"/>
      <c r="AF92" s="551"/>
      <c r="AG92" s="551"/>
      <c r="AH92" s="551"/>
      <c r="AI92" s="551"/>
      <c r="AJ92" s="551"/>
      <c r="AK92" s="551"/>
      <c r="AL92" s="551"/>
      <c r="AM92" s="551"/>
      <c r="AN92" s="551"/>
      <c r="AO92" s="551"/>
    </row>
    <row r="93" spans="1:41" ht="15.75">
      <c r="A93" s="389"/>
      <c r="B93" s="388"/>
      <c r="E93" s="550"/>
      <c r="F93" s="550"/>
      <c r="G93" s="550"/>
      <c r="H93" s="550"/>
      <c r="I93" s="550"/>
      <c r="J93" s="550"/>
      <c r="K93" s="550"/>
      <c r="L93" s="388"/>
      <c r="M93" s="550"/>
      <c r="N93" s="550"/>
      <c r="O93" s="550"/>
      <c r="P93" s="550"/>
      <c r="Q93" s="550"/>
      <c r="R93" s="388"/>
      <c r="S93" s="388"/>
      <c r="T93" s="388"/>
      <c r="U93" s="388"/>
      <c r="V93" s="388"/>
      <c r="W93" s="551"/>
      <c r="X93" s="551"/>
      <c r="Y93" s="551"/>
      <c r="Z93" s="551"/>
      <c r="AA93" s="551"/>
      <c r="AB93" s="551"/>
      <c r="AC93" s="551"/>
      <c r="AD93" s="551"/>
      <c r="AE93" s="551"/>
      <c r="AF93" s="551"/>
      <c r="AG93" s="551"/>
      <c r="AH93" s="551"/>
      <c r="AI93" s="551"/>
      <c r="AJ93" s="551"/>
      <c r="AK93" s="551"/>
      <c r="AL93" s="551"/>
      <c r="AM93" s="551"/>
      <c r="AN93" s="551"/>
      <c r="AO93" s="551"/>
    </row>
    <row r="94" spans="1:41" ht="15.75">
      <c r="A94" s="389"/>
      <c r="B94" s="388"/>
      <c r="E94" s="550"/>
      <c r="F94" s="550"/>
      <c r="G94" s="550"/>
      <c r="H94" s="550"/>
      <c r="I94" s="550"/>
      <c r="J94" s="550"/>
      <c r="K94" s="550"/>
      <c r="L94" s="388"/>
      <c r="M94" s="550"/>
      <c r="N94" s="550"/>
      <c r="O94" s="550"/>
      <c r="P94" s="550"/>
      <c r="Q94" s="550"/>
      <c r="R94" s="388"/>
      <c r="S94" s="388"/>
      <c r="T94" s="388"/>
      <c r="U94" s="388"/>
      <c r="V94" s="388"/>
      <c r="W94" s="551"/>
      <c r="X94" s="551"/>
      <c r="Y94" s="551"/>
      <c r="Z94" s="551"/>
      <c r="AA94" s="551"/>
      <c r="AB94" s="551"/>
      <c r="AC94" s="551"/>
      <c r="AD94" s="551"/>
      <c r="AE94" s="551"/>
      <c r="AF94" s="551"/>
      <c r="AG94" s="551"/>
      <c r="AH94" s="551"/>
      <c r="AI94" s="551"/>
      <c r="AJ94" s="551"/>
      <c r="AK94" s="551"/>
      <c r="AL94" s="551"/>
      <c r="AM94" s="551"/>
      <c r="AN94" s="551"/>
      <c r="AO94" s="551"/>
    </row>
    <row r="95" spans="1:41" ht="15.75">
      <c r="A95" s="389"/>
      <c r="B95" s="388"/>
      <c r="E95" s="550"/>
      <c r="F95" s="550"/>
      <c r="G95" s="550"/>
      <c r="H95" s="550"/>
      <c r="I95" s="550"/>
      <c r="J95" s="550"/>
      <c r="K95" s="550"/>
      <c r="L95" s="388"/>
      <c r="M95" s="550"/>
      <c r="N95" s="550"/>
      <c r="O95" s="550"/>
      <c r="P95" s="550"/>
      <c r="Q95" s="550"/>
      <c r="R95" s="388"/>
      <c r="S95" s="388"/>
      <c r="T95" s="388"/>
      <c r="U95" s="388"/>
      <c r="V95" s="388"/>
      <c r="W95" s="551"/>
      <c r="X95" s="551"/>
      <c r="Y95" s="551"/>
      <c r="Z95" s="551"/>
      <c r="AA95" s="551"/>
      <c r="AB95" s="551"/>
      <c r="AC95" s="551"/>
      <c r="AD95" s="551"/>
      <c r="AE95" s="551"/>
      <c r="AF95" s="551"/>
      <c r="AG95" s="551"/>
      <c r="AH95" s="551"/>
      <c r="AI95" s="551"/>
      <c r="AJ95" s="551"/>
      <c r="AK95" s="551"/>
      <c r="AL95" s="551"/>
      <c r="AM95" s="551"/>
      <c r="AN95" s="551"/>
      <c r="AO95" s="551"/>
    </row>
    <row r="96" spans="1:41" ht="15.75">
      <c r="A96" s="389"/>
      <c r="B96" s="388"/>
      <c r="E96" s="550"/>
      <c r="F96" s="550"/>
      <c r="G96" s="550"/>
      <c r="H96" s="550"/>
      <c r="I96" s="550"/>
      <c r="J96" s="550"/>
      <c r="K96" s="550"/>
      <c r="L96" s="388"/>
      <c r="M96" s="550"/>
      <c r="N96" s="550"/>
      <c r="O96" s="550"/>
      <c r="P96" s="550"/>
      <c r="Q96" s="550"/>
      <c r="R96" s="388"/>
      <c r="S96" s="388"/>
      <c r="T96" s="388"/>
      <c r="U96" s="388"/>
      <c r="V96" s="388"/>
      <c r="W96" s="551"/>
      <c r="X96" s="551"/>
      <c r="Y96" s="551"/>
      <c r="Z96" s="551"/>
      <c r="AA96" s="551"/>
      <c r="AB96" s="551"/>
      <c r="AC96" s="551"/>
      <c r="AD96" s="551"/>
      <c r="AE96" s="551"/>
      <c r="AF96" s="551"/>
      <c r="AG96" s="551"/>
      <c r="AH96" s="551"/>
      <c r="AI96" s="551"/>
      <c r="AJ96" s="551"/>
      <c r="AK96" s="551"/>
      <c r="AL96" s="551"/>
      <c r="AM96" s="551"/>
      <c r="AN96" s="551"/>
      <c r="AO96" s="551"/>
    </row>
    <row r="97" spans="1:41" ht="15.75">
      <c r="A97" s="389"/>
      <c r="B97" s="388"/>
      <c r="E97" s="550"/>
      <c r="F97" s="550"/>
      <c r="G97" s="550"/>
      <c r="H97" s="550"/>
      <c r="I97" s="550"/>
      <c r="J97" s="550"/>
      <c r="K97" s="550"/>
      <c r="L97" s="388"/>
      <c r="M97" s="550"/>
      <c r="N97" s="550"/>
      <c r="O97" s="550"/>
      <c r="P97" s="550"/>
      <c r="Q97" s="550"/>
      <c r="R97" s="388"/>
      <c r="S97" s="388"/>
      <c r="T97" s="388"/>
      <c r="U97" s="388"/>
      <c r="V97" s="388"/>
      <c r="W97" s="551"/>
      <c r="X97" s="551"/>
      <c r="Y97" s="551"/>
      <c r="Z97" s="551"/>
      <c r="AA97" s="551"/>
      <c r="AB97" s="551"/>
      <c r="AC97" s="551"/>
      <c r="AD97" s="551"/>
      <c r="AE97" s="551"/>
      <c r="AF97" s="551"/>
      <c r="AG97" s="551"/>
      <c r="AH97" s="551"/>
      <c r="AI97" s="551"/>
      <c r="AJ97" s="551"/>
      <c r="AK97" s="551"/>
      <c r="AL97" s="551"/>
      <c r="AM97" s="551"/>
      <c r="AN97" s="551"/>
      <c r="AO97" s="551"/>
    </row>
    <row r="98" spans="1:41" ht="15">
      <c r="A98" s="518"/>
      <c r="B98" s="518"/>
      <c r="C98" s="518"/>
      <c r="D98" s="518"/>
      <c r="E98" s="518"/>
      <c r="F98" s="518"/>
      <c r="G98" s="518"/>
      <c r="H98" s="518"/>
      <c r="I98" s="518"/>
      <c r="J98" s="518"/>
      <c r="K98" s="518"/>
      <c r="L98" s="518"/>
      <c r="M98" s="518"/>
      <c r="N98" s="518"/>
      <c r="O98" s="518"/>
      <c r="P98" s="518"/>
      <c r="Q98" s="518"/>
      <c r="R98" s="518"/>
      <c r="S98" s="518"/>
      <c r="T98" s="518"/>
      <c r="U98" s="518"/>
      <c r="V98" s="518"/>
      <c r="W98" s="551"/>
      <c r="X98" s="551"/>
      <c r="Y98" s="551"/>
      <c r="Z98" s="551"/>
      <c r="AA98" s="551"/>
      <c r="AB98" s="551"/>
      <c r="AC98" s="551"/>
      <c r="AD98" s="551"/>
      <c r="AE98" s="551"/>
      <c r="AF98" s="551"/>
      <c r="AG98" s="551"/>
      <c r="AH98" s="551"/>
      <c r="AI98" s="551"/>
      <c r="AJ98" s="551"/>
      <c r="AK98" s="551"/>
      <c r="AL98" s="551"/>
      <c r="AM98" s="551"/>
      <c r="AN98" s="551"/>
      <c r="AO98" s="551"/>
    </row>
    <row r="99" spans="1:41" ht="15">
      <c r="A99" s="518"/>
      <c r="B99" s="518"/>
      <c r="C99" s="518"/>
      <c r="D99" s="518"/>
      <c r="E99" s="518"/>
      <c r="F99" s="518"/>
      <c r="G99" s="518"/>
      <c r="H99" s="518"/>
      <c r="I99" s="518"/>
      <c r="J99" s="518"/>
      <c r="K99" s="518"/>
      <c r="L99" s="518"/>
      <c r="M99" s="518"/>
      <c r="N99" s="518"/>
      <c r="O99" s="518"/>
      <c r="P99" s="518"/>
      <c r="Q99" s="518"/>
      <c r="R99" s="518"/>
      <c r="S99" s="518"/>
      <c r="T99" s="518"/>
      <c r="U99" s="518"/>
      <c r="V99" s="518"/>
      <c r="W99" s="551"/>
      <c r="X99" s="551"/>
      <c r="Y99" s="551"/>
      <c r="Z99" s="551"/>
      <c r="AA99" s="551"/>
      <c r="AB99" s="551"/>
      <c r="AC99" s="551"/>
      <c r="AD99" s="551"/>
      <c r="AE99" s="551"/>
      <c r="AF99" s="551"/>
      <c r="AG99" s="551"/>
      <c r="AH99" s="551"/>
      <c r="AI99" s="551"/>
      <c r="AJ99" s="551"/>
      <c r="AK99" s="551"/>
      <c r="AL99" s="551"/>
      <c r="AM99" s="551"/>
      <c r="AN99" s="551"/>
      <c r="AO99" s="551"/>
    </row>
    <row r="100" spans="1:41" ht="15">
      <c r="A100" s="518"/>
      <c r="B100" s="518"/>
      <c r="C100" s="518"/>
      <c r="D100" s="518"/>
      <c r="E100" s="518"/>
      <c r="F100" s="518"/>
      <c r="G100" s="518"/>
      <c r="H100" s="518"/>
      <c r="I100" s="518"/>
      <c r="J100" s="518"/>
      <c r="K100" s="518"/>
      <c r="L100" s="518"/>
      <c r="M100" s="518"/>
      <c r="N100" s="518"/>
      <c r="O100" s="518"/>
      <c r="P100" s="518"/>
      <c r="Q100" s="518"/>
      <c r="R100" s="518"/>
      <c r="S100" s="518"/>
      <c r="T100" s="518"/>
      <c r="U100" s="518"/>
      <c r="V100" s="518"/>
      <c r="W100" s="551"/>
      <c r="X100" s="551"/>
      <c r="Y100" s="551"/>
      <c r="Z100" s="551"/>
      <c r="AA100" s="551"/>
      <c r="AB100" s="551"/>
      <c r="AC100" s="551"/>
      <c r="AD100" s="551"/>
      <c r="AE100" s="551"/>
      <c r="AF100" s="551"/>
      <c r="AG100" s="551"/>
      <c r="AH100" s="551"/>
      <c r="AI100" s="551"/>
      <c r="AJ100" s="551"/>
      <c r="AK100" s="551"/>
      <c r="AL100" s="551"/>
      <c r="AM100" s="551"/>
      <c r="AN100" s="551"/>
      <c r="AO100" s="551"/>
    </row>
    <row r="101" spans="1:22" ht="15">
      <c r="A101" s="518"/>
      <c r="B101" s="518"/>
      <c r="C101" s="518"/>
      <c r="D101" s="518"/>
      <c r="E101" s="518"/>
      <c r="F101" s="518"/>
      <c r="G101" s="518"/>
      <c r="H101" s="518"/>
      <c r="I101" s="518"/>
      <c r="J101" s="518"/>
      <c r="K101" s="518"/>
      <c r="L101" s="518"/>
      <c r="M101" s="518"/>
      <c r="N101" s="518"/>
      <c r="O101" s="518"/>
      <c r="P101" s="518"/>
      <c r="Q101" s="518"/>
      <c r="R101" s="518"/>
      <c r="S101" s="518"/>
      <c r="T101" s="518"/>
      <c r="U101" s="518"/>
      <c r="V101" s="518"/>
    </row>
    <row r="102" spans="1:22" ht="15">
      <c r="A102" s="518"/>
      <c r="B102" s="518"/>
      <c r="C102" s="518"/>
      <c r="D102" s="518"/>
      <c r="E102" s="518"/>
      <c r="F102" s="518"/>
      <c r="G102" s="518"/>
      <c r="H102" s="518"/>
      <c r="I102" s="518"/>
      <c r="J102" s="518"/>
      <c r="K102" s="518"/>
      <c r="L102" s="518"/>
      <c r="M102" s="518"/>
      <c r="N102" s="518"/>
      <c r="O102" s="518"/>
      <c r="P102" s="518"/>
      <c r="Q102" s="518"/>
      <c r="R102" s="518"/>
      <c r="S102" s="518"/>
      <c r="T102" s="518"/>
      <c r="U102" s="518"/>
      <c r="V102" s="518"/>
    </row>
    <row r="103" spans="1:22" ht="15">
      <c r="A103" s="518"/>
      <c r="B103" s="518"/>
      <c r="C103" s="518"/>
      <c r="D103" s="518"/>
      <c r="E103" s="518"/>
      <c r="F103" s="518"/>
      <c r="G103" s="518"/>
      <c r="H103" s="518"/>
      <c r="I103" s="518"/>
      <c r="J103" s="518"/>
      <c r="K103" s="518"/>
      <c r="L103" s="518"/>
      <c r="M103" s="518"/>
      <c r="N103" s="518"/>
      <c r="O103" s="518"/>
      <c r="P103" s="518"/>
      <c r="Q103" s="518"/>
      <c r="R103" s="518"/>
      <c r="S103" s="518"/>
      <c r="T103" s="518"/>
      <c r="U103" s="518"/>
      <c r="V103" s="518"/>
    </row>
    <row r="104" spans="1:22" ht="15">
      <c r="A104" s="518"/>
      <c r="B104" s="518"/>
      <c r="C104" s="518"/>
      <c r="D104" s="518"/>
      <c r="E104" s="518"/>
      <c r="F104" s="518"/>
      <c r="G104" s="518"/>
      <c r="H104" s="518"/>
      <c r="I104" s="518"/>
      <c r="J104" s="518"/>
      <c r="K104" s="518"/>
      <c r="L104" s="518"/>
      <c r="M104" s="518"/>
      <c r="N104" s="518"/>
      <c r="O104" s="518"/>
      <c r="P104" s="518"/>
      <c r="Q104" s="518"/>
      <c r="R104" s="518"/>
      <c r="S104" s="518"/>
      <c r="T104" s="518"/>
      <c r="U104" s="518"/>
      <c r="V104" s="518"/>
    </row>
    <row r="105" spans="1:22" ht="12.75" customHeight="1">
      <c r="A105" s="518"/>
      <c r="B105" s="518"/>
      <c r="C105" s="518"/>
      <c r="D105" s="518"/>
      <c r="E105" s="518"/>
      <c r="F105" s="518"/>
      <c r="G105" s="518"/>
      <c r="H105" s="518"/>
      <c r="I105" s="518"/>
      <c r="J105" s="518"/>
      <c r="K105" s="518"/>
      <c r="L105" s="518"/>
      <c r="M105" s="518"/>
      <c r="N105" s="518"/>
      <c r="O105" s="518"/>
      <c r="P105" s="518"/>
      <c r="Q105" s="518"/>
      <c r="R105" s="518"/>
      <c r="S105" s="518"/>
      <c r="T105" s="518"/>
      <c r="U105" s="518"/>
      <c r="V105" s="518"/>
    </row>
    <row r="106" spans="1:22" ht="12.75" customHeight="1">
      <c r="A106" s="518"/>
      <c r="B106" s="518"/>
      <c r="C106" s="518"/>
      <c r="D106" s="518"/>
      <c r="E106" s="518"/>
      <c r="F106" s="518"/>
      <c r="G106" s="518"/>
      <c r="H106" s="518"/>
      <c r="I106" s="518"/>
      <c r="J106" s="518"/>
      <c r="K106" s="518"/>
      <c r="L106" s="518"/>
      <c r="M106" s="518"/>
      <c r="N106" s="518"/>
      <c r="O106" s="518"/>
      <c r="P106" s="518"/>
      <c r="Q106" s="518"/>
      <c r="R106" s="518"/>
      <c r="S106" s="518"/>
      <c r="T106" s="518"/>
      <c r="U106" s="518"/>
      <c r="V106" s="518"/>
    </row>
    <row r="107" spans="1:22" ht="12.75" customHeight="1">
      <c r="A107" s="518"/>
      <c r="B107" s="518"/>
      <c r="C107" s="518"/>
      <c r="D107" s="518"/>
      <c r="E107" s="518"/>
      <c r="F107" s="518"/>
      <c r="G107" s="518"/>
      <c r="H107" s="518"/>
      <c r="I107" s="518"/>
      <c r="J107" s="518"/>
      <c r="K107" s="518"/>
      <c r="L107" s="518"/>
      <c r="M107" s="518"/>
      <c r="N107" s="518"/>
      <c r="O107" s="518"/>
      <c r="P107" s="518"/>
      <c r="Q107" s="518"/>
      <c r="R107" s="518"/>
      <c r="S107" s="518"/>
      <c r="T107" s="518"/>
      <c r="U107" s="518"/>
      <c r="V107" s="518"/>
    </row>
    <row r="108" spans="1:22" ht="12.75" customHeight="1">
      <c r="A108" s="518"/>
      <c r="B108" s="518"/>
      <c r="C108" s="518"/>
      <c r="D108" s="518"/>
      <c r="E108" s="518"/>
      <c r="F108" s="518"/>
      <c r="G108" s="518"/>
      <c r="H108" s="518"/>
      <c r="I108" s="518"/>
      <c r="J108" s="518"/>
      <c r="K108" s="518"/>
      <c r="L108" s="518"/>
      <c r="M108" s="518"/>
      <c r="N108" s="518"/>
      <c r="O108" s="518"/>
      <c r="P108" s="518"/>
      <c r="Q108" s="518"/>
      <c r="R108" s="518"/>
      <c r="S108" s="518"/>
      <c r="T108" s="518"/>
      <c r="U108" s="518"/>
      <c r="V108" s="518"/>
    </row>
    <row r="109" spans="1:22" ht="12.75" customHeight="1">
      <c r="A109" s="518"/>
      <c r="B109" s="518"/>
      <c r="C109" s="518"/>
      <c r="D109" s="518"/>
      <c r="E109" s="518"/>
      <c r="F109" s="518"/>
      <c r="G109" s="518"/>
      <c r="H109" s="518"/>
      <c r="I109" s="518"/>
      <c r="J109" s="518"/>
      <c r="K109" s="518"/>
      <c r="L109" s="518"/>
      <c r="M109" s="518"/>
      <c r="N109" s="518"/>
      <c r="O109" s="518"/>
      <c r="P109" s="518"/>
      <c r="Q109" s="518"/>
      <c r="R109" s="518"/>
      <c r="S109" s="518"/>
      <c r="T109" s="518"/>
      <c r="U109" s="518"/>
      <c r="V109" s="518"/>
    </row>
    <row r="110" spans="1:22" ht="12.75" customHeight="1">
      <c r="A110" s="518"/>
      <c r="B110" s="518"/>
      <c r="C110" s="518"/>
      <c r="D110" s="518"/>
      <c r="E110" s="518"/>
      <c r="F110" s="518"/>
      <c r="G110" s="518"/>
      <c r="H110" s="518"/>
      <c r="I110" s="518"/>
      <c r="J110" s="518"/>
      <c r="K110" s="518"/>
      <c r="L110" s="518"/>
      <c r="M110" s="518"/>
      <c r="N110" s="518"/>
      <c r="O110" s="518"/>
      <c r="P110" s="518"/>
      <c r="Q110" s="518"/>
      <c r="R110" s="518"/>
      <c r="S110" s="518"/>
      <c r="T110" s="518"/>
      <c r="U110" s="518"/>
      <c r="V110" s="518"/>
    </row>
    <row r="111" spans="1:22" ht="12.75" customHeight="1">
      <c r="A111" s="518"/>
      <c r="B111" s="518"/>
      <c r="C111" s="518"/>
      <c r="D111" s="518"/>
      <c r="E111" s="518"/>
      <c r="F111" s="518"/>
      <c r="G111" s="518"/>
      <c r="H111" s="518"/>
      <c r="I111" s="518"/>
      <c r="J111" s="518"/>
      <c r="K111" s="518"/>
      <c r="L111" s="518"/>
      <c r="M111" s="518"/>
      <c r="N111" s="518"/>
      <c r="O111" s="518"/>
      <c r="P111" s="518"/>
      <c r="Q111" s="518"/>
      <c r="R111" s="518"/>
      <c r="S111" s="518"/>
      <c r="T111" s="518"/>
      <c r="U111" s="518"/>
      <c r="V111" s="518"/>
    </row>
    <row r="112" spans="1:22" ht="12.75" customHeight="1">
      <c r="A112" s="518"/>
      <c r="B112" s="518"/>
      <c r="C112" s="518"/>
      <c r="D112" s="518"/>
      <c r="E112" s="518"/>
      <c r="F112" s="518"/>
      <c r="G112" s="518"/>
      <c r="H112" s="518"/>
      <c r="I112" s="518"/>
      <c r="J112" s="518"/>
      <c r="K112" s="518"/>
      <c r="L112" s="518"/>
      <c r="M112" s="518"/>
      <c r="N112" s="518"/>
      <c r="O112" s="518"/>
      <c r="P112" s="518"/>
      <c r="Q112" s="518"/>
      <c r="R112" s="518"/>
      <c r="S112" s="518"/>
      <c r="T112" s="518"/>
      <c r="U112" s="518"/>
      <c r="V112" s="518"/>
    </row>
    <row r="113" spans="1:22" ht="12.75" customHeight="1">
      <c r="A113" s="518"/>
      <c r="B113" s="518"/>
      <c r="C113" s="518"/>
      <c r="D113" s="518"/>
      <c r="E113" s="518"/>
      <c r="F113" s="518"/>
      <c r="G113" s="518"/>
      <c r="H113" s="518"/>
      <c r="I113" s="518"/>
      <c r="J113" s="518"/>
      <c r="K113" s="518"/>
      <c r="L113" s="518"/>
      <c r="M113" s="518"/>
      <c r="N113" s="518"/>
      <c r="O113" s="518"/>
      <c r="P113" s="518"/>
      <c r="Q113" s="518"/>
      <c r="R113" s="518"/>
      <c r="S113" s="518"/>
      <c r="T113" s="518"/>
      <c r="U113" s="518"/>
      <c r="V113" s="518"/>
    </row>
    <row r="114" spans="1:22" ht="12.75" customHeight="1">
      <c r="A114" s="518"/>
      <c r="B114" s="518"/>
      <c r="C114" s="518"/>
      <c r="D114" s="518"/>
      <c r="E114" s="518"/>
      <c r="F114" s="518"/>
      <c r="G114" s="518"/>
      <c r="H114" s="518"/>
      <c r="I114" s="518"/>
      <c r="J114" s="518"/>
      <c r="K114" s="518"/>
      <c r="L114" s="518"/>
      <c r="M114" s="518"/>
      <c r="N114" s="518"/>
      <c r="O114" s="518"/>
      <c r="P114" s="518"/>
      <c r="Q114" s="518"/>
      <c r="R114" s="518"/>
      <c r="S114" s="518"/>
      <c r="T114" s="518"/>
      <c r="U114" s="518"/>
      <c r="V114" s="518"/>
    </row>
    <row r="115" spans="1:22" ht="12.75" customHeight="1">
      <c r="A115" s="518"/>
      <c r="B115" s="518"/>
      <c r="C115" s="518"/>
      <c r="D115" s="518"/>
      <c r="E115" s="518"/>
      <c r="F115" s="518"/>
      <c r="G115" s="518"/>
      <c r="H115" s="518"/>
      <c r="I115" s="518"/>
      <c r="J115" s="518"/>
      <c r="K115" s="518"/>
      <c r="L115" s="518"/>
      <c r="M115" s="518"/>
      <c r="N115" s="518"/>
      <c r="O115" s="518"/>
      <c r="P115" s="518"/>
      <c r="Q115" s="518"/>
      <c r="R115" s="518"/>
      <c r="S115" s="518"/>
      <c r="T115" s="518"/>
      <c r="U115" s="518"/>
      <c r="V115" s="518"/>
    </row>
    <row r="116" spans="1:22" ht="15">
      <c r="A116" s="518"/>
      <c r="B116" s="518"/>
      <c r="C116" s="518"/>
      <c r="D116" s="518"/>
      <c r="E116" s="518"/>
      <c r="F116" s="518"/>
      <c r="G116" s="518"/>
      <c r="H116" s="518"/>
      <c r="I116" s="518"/>
      <c r="J116" s="518"/>
      <c r="K116" s="518"/>
      <c r="L116" s="518"/>
      <c r="M116" s="518"/>
      <c r="N116" s="518"/>
      <c r="O116" s="518"/>
      <c r="P116" s="518"/>
      <c r="Q116" s="518"/>
      <c r="R116" s="518"/>
      <c r="S116" s="518"/>
      <c r="T116" s="518"/>
      <c r="U116" s="518"/>
      <c r="V116" s="518"/>
    </row>
    <row r="117" spans="1:22" ht="15">
      <c r="A117" s="518"/>
      <c r="B117" s="518"/>
      <c r="C117" s="518"/>
      <c r="D117" s="518"/>
      <c r="E117" s="518"/>
      <c r="F117" s="518"/>
      <c r="G117" s="518"/>
      <c r="H117" s="518"/>
      <c r="I117" s="518"/>
      <c r="J117" s="518"/>
      <c r="K117" s="518"/>
      <c r="L117" s="518"/>
      <c r="M117" s="518"/>
      <c r="N117" s="518"/>
      <c r="O117" s="518"/>
      <c r="P117" s="518"/>
      <c r="Q117" s="518"/>
      <c r="R117" s="518"/>
      <c r="S117" s="518"/>
      <c r="T117" s="518"/>
      <c r="U117" s="518"/>
      <c r="V117" s="518"/>
    </row>
    <row r="118" spans="1:22" ht="15">
      <c r="A118" s="518"/>
      <c r="B118" s="518"/>
      <c r="C118" s="518"/>
      <c r="D118" s="518"/>
      <c r="E118" s="518"/>
      <c r="F118" s="518"/>
      <c r="G118" s="518"/>
      <c r="H118" s="518"/>
      <c r="I118" s="518"/>
      <c r="J118" s="518"/>
      <c r="K118" s="518"/>
      <c r="L118" s="518"/>
      <c r="M118" s="518"/>
      <c r="N118" s="518"/>
      <c r="O118" s="518"/>
      <c r="P118" s="518"/>
      <c r="Q118" s="518"/>
      <c r="R118" s="518"/>
      <c r="S118" s="518"/>
      <c r="T118" s="518"/>
      <c r="U118" s="518"/>
      <c r="V118" s="518"/>
    </row>
    <row r="119" spans="1:22" ht="15">
      <c r="A119" s="518"/>
      <c r="B119" s="518"/>
      <c r="C119" s="518"/>
      <c r="D119" s="518"/>
      <c r="E119" s="518"/>
      <c r="F119" s="518"/>
      <c r="G119" s="518"/>
      <c r="H119" s="518"/>
      <c r="I119" s="518"/>
      <c r="J119" s="518"/>
      <c r="K119" s="518"/>
      <c r="L119" s="518"/>
      <c r="M119" s="518"/>
      <c r="N119" s="518"/>
      <c r="O119" s="518"/>
      <c r="P119" s="518"/>
      <c r="Q119" s="518"/>
      <c r="R119" s="518"/>
      <c r="S119" s="518"/>
      <c r="T119" s="518"/>
      <c r="U119" s="518"/>
      <c r="V119" s="518"/>
    </row>
    <row r="120" spans="1:22" ht="15">
      <c r="A120" s="518"/>
      <c r="B120" s="518"/>
      <c r="C120" s="518"/>
      <c r="D120" s="518"/>
      <c r="E120" s="518"/>
      <c r="F120" s="518"/>
      <c r="G120" s="518"/>
      <c r="H120" s="518"/>
      <c r="I120" s="518"/>
      <c r="J120" s="518"/>
      <c r="K120" s="518"/>
      <c r="L120" s="518"/>
      <c r="M120" s="518"/>
      <c r="N120" s="518"/>
      <c r="O120" s="518"/>
      <c r="P120" s="518"/>
      <c r="Q120" s="518"/>
      <c r="R120" s="518"/>
      <c r="S120" s="518"/>
      <c r="T120" s="518"/>
      <c r="U120" s="518"/>
      <c r="V120" s="518"/>
    </row>
    <row r="121" spans="1:22" ht="15">
      <c r="A121" s="518"/>
      <c r="B121" s="518"/>
      <c r="C121" s="518"/>
      <c r="D121" s="518"/>
      <c r="E121" s="518"/>
      <c r="F121" s="518"/>
      <c r="G121" s="518"/>
      <c r="H121" s="518"/>
      <c r="I121" s="518"/>
      <c r="J121" s="518"/>
      <c r="K121" s="518"/>
      <c r="L121" s="518"/>
      <c r="M121" s="518"/>
      <c r="N121" s="518"/>
      <c r="O121" s="518"/>
      <c r="P121" s="518"/>
      <c r="Q121" s="518"/>
      <c r="R121" s="518"/>
      <c r="S121" s="518"/>
      <c r="T121" s="518"/>
      <c r="U121" s="518"/>
      <c r="V121" s="518"/>
    </row>
    <row r="122" spans="1:22" ht="15">
      <c r="A122" s="518"/>
      <c r="B122" s="518"/>
      <c r="C122" s="518"/>
      <c r="D122" s="518"/>
      <c r="E122" s="518"/>
      <c r="F122" s="518"/>
      <c r="G122" s="518"/>
      <c r="H122" s="518"/>
      <c r="I122" s="518"/>
      <c r="J122" s="518"/>
      <c r="K122" s="518"/>
      <c r="L122" s="518"/>
      <c r="M122" s="518"/>
      <c r="N122" s="518"/>
      <c r="O122" s="518"/>
      <c r="P122" s="518"/>
      <c r="Q122" s="518"/>
      <c r="R122" s="518"/>
      <c r="S122" s="518"/>
      <c r="T122" s="518"/>
      <c r="U122" s="518"/>
      <c r="V122" s="518"/>
    </row>
    <row r="123" spans="1:22" ht="15">
      <c r="A123" s="518"/>
      <c r="B123" s="518"/>
      <c r="C123" s="518"/>
      <c r="D123" s="518"/>
      <c r="E123" s="518"/>
      <c r="F123" s="518"/>
      <c r="G123" s="518"/>
      <c r="H123" s="518"/>
      <c r="I123" s="518"/>
      <c r="J123" s="518"/>
      <c r="K123" s="518"/>
      <c r="L123" s="518"/>
      <c r="M123" s="518"/>
      <c r="N123" s="518"/>
      <c r="O123" s="518"/>
      <c r="P123" s="518"/>
      <c r="Q123" s="518"/>
      <c r="R123" s="518"/>
      <c r="S123" s="518"/>
      <c r="T123" s="518"/>
      <c r="U123" s="518"/>
      <c r="V123" s="518"/>
    </row>
    <row r="124" spans="1:22" ht="15">
      <c r="A124" s="518"/>
      <c r="B124" s="518"/>
      <c r="C124" s="518"/>
      <c r="D124" s="518"/>
      <c r="E124" s="518"/>
      <c r="F124" s="518"/>
      <c r="G124" s="518"/>
      <c r="H124" s="518"/>
      <c r="I124" s="518"/>
      <c r="J124" s="518"/>
      <c r="K124" s="518"/>
      <c r="L124" s="518"/>
      <c r="M124" s="518"/>
      <c r="N124" s="518"/>
      <c r="O124" s="518"/>
      <c r="P124" s="518"/>
      <c r="Q124" s="518"/>
      <c r="R124" s="518"/>
      <c r="S124" s="518"/>
      <c r="T124" s="518"/>
      <c r="U124" s="518"/>
      <c r="V124" s="518"/>
    </row>
    <row r="125" spans="1:22" ht="15">
      <c r="A125" s="518"/>
      <c r="B125" s="518"/>
      <c r="C125" s="518"/>
      <c r="D125" s="518"/>
      <c r="E125" s="518"/>
      <c r="F125" s="518"/>
      <c r="G125" s="518"/>
      <c r="H125" s="518"/>
      <c r="I125" s="518"/>
      <c r="J125" s="518"/>
      <c r="K125" s="518"/>
      <c r="L125" s="518"/>
      <c r="M125" s="518"/>
      <c r="N125" s="518"/>
      <c r="O125" s="518"/>
      <c r="P125" s="518"/>
      <c r="Q125" s="518"/>
      <c r="R125" s="518"/>
      <c r="S125" s="518"/>
      <c r="T125" s="518"/>
      <c r="U125" s="518"/>
      <c r="V125" s="518"/>
    </row>
    <row r="126" spans="1:22" ht="15">
      <c r="A126" s="518"/>
      <c r="B126" s="518"/>
      <c r="C126" s="518"/>
      <c r="D126" s="518"/>
      <c r="E126" s="518"/>
      <c r="F126" s="518"/>
      <c r="G126" s="518"/>
      <c r="H126" s="518"/>
      <c r="I126" s="518"/>
      <c r="J126" s="518"/>
      <c r="K126" s="518"/>
      <c r="L126" s="518"/>
      <c r="M126" s="518"/>
      <c r="N126" s="518"/>
      <c r="O126" s="518"/>
      <c r="P126" s="518"/>
      <c r="Q126" s="518"/>
      <c r="R126" s="518"/>
      <c r="S126" s="518"/>
      <c r="T126" s="518"/>
      <c r="U126" s="518"/>
      <c r="V126" s="518"/>
    </row>
    <row r="127" spans="1:22" ht="15">
      <c r="A127" s="518"/>
      <c r="B127" s="518"/>
      <c r="C127" s="518"/>
      <c r="D127" s="518"/>
      <c r="E127" s="518"/>
      <c r="F127" s="518"/>
      <c r="G127" s="518"/>
      <c r="H127" s="518"/>
      <c r="I127" s="518"/>
      <c r="J127" s="518"/>
      <c r="K127" s="518"/>
      <c r="L127" s="518"/>
      <c r="M127" s="518"/>
      <c r="N127" s="518"/>
      <c r="O127" s="518"/>
      <c r="P127" s="518"/>
      <c r="Q127" s="518"/>
      <c r="R127" s="518"/>
      <c r="S127" s="518"/>
      <c r="T127" s="518"/>
      <c r="U127" s="518"/>
      <c r="V127" s="518"/>
    </row>
    <row r="128" spans="1:22" ht="15">
      <c r="A128" s="518"/>
      <c r="B128" s="518"/>
      <c r="C128" s="518"/>
      <c r="D128" s="518"/>
      <c r="E128" s="518"/>
      <c r="F128" s="518"/>
      <c r="G128" s="518"/>
      <c r="H128" s="518"/>
      <c r="I128" s="518"/>
      <c r="J128" s="518"/>
      <c r="K128" s="518"/>
      <c r="L128" s="518"/>
      <c r="M128" s="518"/>
      <c r="N128" s="518"/>
      <c r="O128" s="518"/>
      <c r="P128" s="518"/>
      <c r="Q128" s="518"/>
      <c r="R128" s="518"/>
      <c r="S128" s="518"/>
      <c r="T128" s="518"/>
      <c r="U128" s="518"/>
      <c r="V128" s="518"/>
    </row>
    <row r="129" spans="1:22" ht="15">
      <c r="A129" s="518"/>
      <c r="B129" s="518"/>
      <c r="C129" s="518"/>
      <c r="D129" s="518"/>
      <c r="E129" s="518"/>
      <c r="F129" s="518"/>
      <c r="G129" s="518"/>
      <c r="H129" s="518"/>
      <c r="I129" s="518"/>
      <c r="J129" s="518"/>
      <c r="K129" s="518"/>
      <c r="L129" s="518"/>
      <c r="M129" s="518"/>
      <c r="N129" s="518"/>
      <c r="O129" s="518"/>
      <c r="P129" s="518"/>
      <c r="Q129" s="518"/>
      <c r="R129" s="518"/>
      <c r="S129" s="518"/>
      <c r="T129" s="518"/>
      <c r="U129" s="518"/>
      <c r="V129" s="518"/>
    </row>
    <row r="130" spans="1:22" ht="15">
      <c r="A130" s="518"/>
      <c r="B130" s="518"/>
      <c r="C130" s="518"/>
      <c r="D130" s="518"/>
      <c r="E130" s="518"/>
      <c r="F130" s="518"/>
      <c r="G130" s="518"/>
      <c r="H130" s="518"/>
      <c r="I130" s="518"/>
      <c r="J130" s="518"/>
      <c r="K130" s="518"/>
      <c r="L130" s="518"/>
      <c r="M130" s="518"/>
      <c r="N130" s="518"/>
      <c r="O130" s="518"/>
      <c r="P130" s="518"/>
      <c r="Q130" s="518"/>
      <c r="R130" s="518"/>
      <c r="S130" s="518"/>
      <c r="T130" s="518"/>
      <c r="U130" s="518"/>
      <c r="V130" s="518"/>
    </row>
    <row r="131" spans="1:22" ht="15">
      <c r="A131" s="518"/>
      <c r="B131" s="518"/>
      <c r="C131" s="518"/>
      <c r="D131" s="518"/>
      <c r="E131" s="518"/>
      <c r="F131" s="518"/>
      <c r="G131" s="518"/>
      <c r="H131" s="518"/>
      <c r="I131" s="518"/>
      <c r="J131" s="518"/>
      <c r="K131" s="518"/>
      <c r="L131" s="518"/>
      <c r="M131" s="518"/>
      <c r="N131" s="518"/>
      <c r="O131" s="518"/>
      <c r="P131" s="518"/>
      <c r="Q131" s="518"/>
      <c r="R131" s="518"/>
      <c r="S131" s="518"/>
      <c r="T131" s="518"/>
      <c r="U131" s="518"/>
      <c r="V131" s="518"/>
    </row>
    <row r="132" spans="1:22" ht="15">
      <c r="A132" s="518"/>
      <c r="B132" s="518"/>
      <c r="C132" s="518"/>
      <c r="D132" s="518"/>
      <c r="E132" s="518"/>
      <c r="F132" s="518"/>
      <c r="G132" s="518"/>
      <c r="H132" s="518"/>
      <c r="I132" s="518"/>
      <c r="J132" s="518"/>
      <c r="K132" s="518"/>
      <c r="L132" s="518"/>
      <c r="M132" s="518"/>
      <c r="N132" s="518"/>
      <c r="O132" s="518"/>
      <c r="P132" s="518"/>
      <c r="Q132" s="518"/>
      <c r="R132" s="518"/>
      <c r="S132" s="518"/>
      <c r="T132" s="518"/>
      <c r="U132" s="518"/>
      <c r="V132" s="518"/>
    </row>
    <row r="133" spans="1:22" ht="15">
      <c r="A133" s="518"/>
      <c r="B133" s="518"/>
      <c r="C133" s="518"/>
      <c r="D133" s="518"/>
      <c r="E133" s="518"/>
      <c r="F133" s="518"/>
      <c r="G133" s="518"/>
      <c r="H133" s="518"/>
      <c r="I133" s="518"/>
      <c r="J133" s="518"/>
      <c r="K133" s="518"/>
      <c r="L133" s="518"/>
      <c r="M133" s="518"/>
      <c r="N133" s="518"/>
      <c r="O133" s="518"/>
      <c r="P133" s="518"/>
      <c r="Q133" s="518"/>
      <c r="R133" s="518"/>
      <c r="S133" s="518"/>
      <c r="T133" s="518"/>
      <c r="U133" s="518"/>
      <c r="V133" s="518"/>
    </row>
    <row r="134" spans="1:22" ht="15">
      <c r="A134" s="518"/>
      <c r="B134" s="518"/>
      <c r="C134" s="518"/>
      <c r="D134" s="518"/>
      <c r="E134" s="518"/>
      <c r="F134" s="518"/>
      <c r="G134" s="518"/>
      <c r="H134" s="518"/>
      <c r="I134" s="518"/>
      <c r="J134" s="518"/>
      <c r="K134" s="518"/>
      <c r="L134" s="518"/>
      <c r="M134" s="518"/>
      <c r="N134" s="518"/>
      <c r="O134" s="518"/>
      <c r="P134" s="518"/>
      <c r="Q134" s="518"/>
      <c r="R134" s="518"/>
      <c r="S134" s="518"/>
      <c r="T134" s="518"/>
      <c r="U134" s="518"/>
      <c r="V134" s="518"/>
    </row>
    <row r="135" spans="1:22" ht="15">
      <c r="A135" s="518"/>
      <c r="B135" s="518"/>
      <c r="C135" s="518"/>
      <c r="D135" s="518"/>
      <c r="E135" s="518"/>
      <c r="F135" s="518"/>
      <c r="G135" s="518"/>
      <c r="H135" s="518"/>
      <c r="I135" s="518"/>
      <c r="J135" s="518"/>
      <c r="K135" s="518"/>
      <c r="L135" s="518"/>
      <c r="M135" s="518"/>
      <c r="N135" s="518"/>
      <c r="O135" s="518"/>
      <c r="P135" s="518"/>
      <c r="Q135" s="518"/>
      <c r="R135" s="518"/>
      <c r="S135" s="518"/>
      <c r="T135" s="518"/>
      <c r="U135" s="518"/>
      <c r="V135" s="518"/>
    </row>
    <row r="136" spans="1:22" ht="12.75" customHeight="1">
      <c r="A136" s="518"/>
      <c r="B136" s="518"/>
      <c r="C136" s="518"/>
      <c r="D136" s="518"/>
      <c r="E136" s="518"/>
      <c r="F136" s="518"/>
      <c r="G136" s="518"/>
      <c r="H136" s="518"/>
      <c r="I136" s="518"/>
      <c r="J136" s="518"/>
      <c r="K136" s="518"/>
      <c r="L136" s="518"/>
      <c r="M136" s="518"/>
      <c r="N136" s="518"/>
      <c r="O136" s="518"/>
      <c r="P136" s="518"/>
      <c r="Q136" s="518"/>
      <c r="R136" s="518"/>
      <c r="S136" s="518"/>
      <c r="T136" s="518"/>
      <c r="U136" s="518"/>
      <c r="V136" s="518"/>
    </row>
    <row r="137" spans="1:22" ht="12.75" customHeight="1">
      <c r="A137" s="518"/>
      <c r="B137" s="518"/>
      <c r="C137" s="518"/>
      <c r="D137" s="518"/>
      <c r="E137" s="518"/>
      <c r="F137" s="518"/>
      <c r="G137" s="518"/>
      <c r="H137" s="518"/>
      <c r="I137" s="518"/>
      <c r="J137" s="518"/>
      <c r="K137" s="518"/>
      <c r="L137" s="518"/>
      <c r="M137" s="518"/>
      <c r="N137" s="518"/>
      <c r="O137" s="518"/>
      <c r="P137" s="518"/>
      <c r="Q137" s="518"/>
      <c r="R137" s="518"/>
      <c r="S137" s="518"/>
      <c r="T137" s="518"/>
      <c r="U137" s="518"/>
      <c r="V137" s="518"/>
    </row>
    <row r="138" spans="1:22" ht="12.75" customHeight="1">
      <c r="A138" s="518"/>
      <c r="B138" s="518"/>
      <c r="C138" s="518"/>
      <c r="D138" s="518"/>
      <c r="E138" s="518"/>
      <c r="F138" s="518"/>
      <c r="G138" s="518"/>
      <c r="H138" s="518"/>
      <c r="I138" s="518"/>
      <c r="J138" s="518"/>
      <c r="K138" s="518"/>
      <c r="L138" s="518"/>
      <c r="M138" s="518"/>
      <c r="N138" s="518"/>
      <c r="O138" s="518"/>
      <c r="P138" s="518"/>
      <c r="Q138" s="518"/>
      <c r="R138" s="518"/>
      <c r="S138" s="518"/>
      <c r="T138" s="518"/>
      <c r="U138" s="518"/>
      <c r="V138" s="518"/>
    </row>
    <row r="139" spans="1:22" ht="15">
      <c r="A139" s="518"/>
      <c r="B139" s="518"/>
      <c r="C139" s="518"/>
      <c r="D139" s="518"/>
      <c r="E139" s="518"/>
      <c r="F139" s="518"/>
      <c r="G139" s="518"/>
      <c r="H139" s="518"/>
      <c r="I139" s="518"/>
      <c r="J139" s="518"/>
      <c r="K139" s="518"/>
      <c r="L139" s="518"/>
      <c r="M139" s="518"/>
      <c r="N139" s="518"/>
      <c r="O139" s="518"/>
      <c r="P139" s="518"/>
      <c r="Q139" s="518"/>
      <c r="R139" s="518"/>
      <c r="S139" s="518"/>
      <c r="T139" s="518"/>
      <c r="U139" s="518"/>
      <c r="V139" s="518"/>
    </row>
    <row r="140" spans="1:22" ht="15">
      <c r="A140" s="518"/>
      <c r="B140" s="518"/>
      <c r="C140" s="518"/>
      <c r="D140" s="518"/>
      <c r="E140" s="518"/>
      <c r="F140" s="518"/>
      <c r="G140" s="518"/>
      <c r="H140" s="518"/>
      <c r="I140" s="518"/>
      <c r="J140" s="518"/>
      <c r="K140" s="518"/>
      <c r="L140" s="518"/>
      <c r="M140" s="518"/>
      <c r="N140" s="518"/>
      <c r="O140" s="518"/>
      <c r="P140" s="518"/>
      <c r="Q140" s="518"/>
      <c r="R140" s="518"/>
      <c r="S140" s="518"/>
      <c r="T140" s="518"/>
      <c r="U140" s="518"/>
      <c r="V140" s="518"/>
    </row>
    <row r="141" spans="1:22" ht="15">
      <c r="A141" s="518"/>
      <c r="B141" s="518"/>
      <c r="C141" s="518"/>
      <c r="D141" s="518"/>
      <c r="E141" s="518"/>
      <c r="F141" s="518"/>
      <c r="G141" s="518"/>
      <c r="H141" s="518"/>
      <c r="I141" s="518"/>
      <c r="J141" s="518"/>
      <c r="K141" s="518"/>
      <c r="L141" s="518"/>
      <c r="M141" s="518"/>
      <c r="N141" s="518"/>
      <c r="O141" s="518"/>
      <c r="P141" s="518"/>
      <c r="Q141" s="518"/>
      <c r="R141" s="518"/>
      <c r="S141" s="518"/>
      <c r="T141" s="518"/>
      <c r="U141" s="518"/>
      <c r="V141" s="518"/>
    </row>
    <row r="142" spans="1:22" ht="15">
      <c r="A142" s="518"/>
      <c r="B142" s="518"/>
      <c r="C142" s="518"/>
      <c r="D142" s="518"/>
      <c r="E142" s="518"/>
      <c r="F142" s="518"/>
      <c r="G142" s="518"/>
      <c r="H142" s="518"/>
      <c r="I142" s="518"/>
      <c r="J142" s="518"/>
      <c r="K142" s="518"/>
      <c r="L142" s="518"/>
      <c r="M142" s="518"/>
      <c r="N142" s="518"/>
      <c r="O142" s="518"/>
      <c r="P142" s="518"/>
      <c r="Q142" s="518"/>
      <c r="R142" s="518"/>
      <c r="S142" s="518"/>
      <c r="T142" s="518"/>
      <c r="U142" s="518"/>
      <c r="V142" s="518"/>
    </row>
    <row r="143" spans="1:22" ht="15">
      <c r="A143" s="518"/>
      <c r="B143" s="518"/>
      <c r="C143" s="518"/>
      <c r="D143" s="518"/>
      <c r="E143" s="518"/>
      <c r="F143" s="518"/>
      <c r="G143" s="518"/>
      <c r="H143" s="518"/>
      <c r="I143" s="518"/>
      <c r="J143" s="518"/>
      <c r="K143" s="518"/>
      <c r="L143" s="518"/>
      <c r="M143" s="518"/>
      <c r="N143" s="518"/>
      <c r="O143" s="518"/>
      <c r="P143" s="518"/>
      <c r="Q143" s="518"/>
      <c r="R143" s="518"/>
      <c r="S143" s="518"/>
      <c r="T143" s="518"/>
      <c r="U143" s="518"/>
      <c r="V143" s="518"/>
    </row>
    <row r="144" spans="1:22" ht="15">
      <c r="A144" s="518"/>
      <c r="B144" s="518"/>
      <c r="C144" s="518"/>
      <c r="D144" s="518"/>
      <c r="E144" s="518"/>
      <c r="F144" s="518"/>
      <c r="G144" s="518"/>
      <c r="H144" s="518"/>
      <c r="I144" s="518"/>
      <c r="J144" s="518"/>
      <c r="K144" s="518"/>
      <c r="L144" s="518"/>
      <c r="M144" s="518"/>
      <c r="N144" s="518"/>
      <c r="O144" s="518"/>
      <c r="P144" s="518"/>
      <c r="Q144" s="518"/>
      <c r="R144" s="518"/>
      <c r="S144" s="518"/>
      <c r="T144" s="518"/>
      <c r="U144" s="518"/>
      <c r="V144" s="518"/>
    </row>
    <row r="145" spans="1:22" ht="15">
      <c r="A145" s="518"/>
      <c r="B145" s="518"/>
      <c r="C145" s="518"/>
      <c r="D145" s="518"/>
      <c r="E145" s="518"/>
      <c r="F145" s="518"/>
      <c r="G145" s="518"/>
      <c r="H145" s="518"/>
      <c r="I145" s="518"/>
      <c r="J145" s="518"/>
      <c r="K145" s="518"/>
      <c r="L145" s="518"/>
      <c r="M145" s="518"/>
      <c r="N145" s="518"/>
      <c r="O145" s="518"/>
      <c r="P145" s="518"/>
      <c r="Q145" s="518"/>
      <c r="R145" s="518"/>
      <c r="S145" s="518"/>
      <c r="T145" s="518"/>
      <c r="U145" s="518"/>
      <c r="V145" s="518"/>
    </row>
    <row r="146" spans="1:22" ht="15">
      <c r="A146" s="518"/>
      <c r="B146" s="518"/>
      <c r="C146" s="518"/>
      <c r="D146" s="518"/>
      <c r="E146" s="518"/>
      <c r="F146" s="518"/>
      <c r="G146" s="518"/>
      <c r="H146" s="518"/>
      <c r="I146" s="518"/>
      <c r="J146" s="518"/>
      <c r="K146" s="518"/>
      <c r="L146" s="518"/>
      <c r="M146" s="518"/>
      <c r="N146" s="518"/>
      <c r="O146" s="518"/>
      <c r="P146" s="518"/>
      <c r="Q146" s="518"/>
      <c r="R146" s="518"/>
      <c r="S146" s="518"/>
      <c r="T146" s="518"/>
      <c r="U146" s="518"/>
      <c r="V146" s="518"/>
    </row>
    <row r="147" spans="1:22" ht="15">
      <c r="A147" s="518"/>
      <c r="B147" s="518"/>
      <c r="C147" s="518"/>
      <c r="D147" s="518"/>
      <c r="E147" s="518"/>
      <c r="F147" s="518"/>
      <c r="G147" s="518"/>
      <c r="H147" s="518"/>
      <c r="I147" s="518"/>
      <c r="J147" s="518"/>
      <c r="K147" s="518"/>
      <c r="L147" s="518"/>
      <c r="M147" s="518"/>
      <c r="N147" s="518"/>
      <c r="O147" s="518"/>
      <c r="P147" s="518"/>
      <c r="Q147" s="518"/>
      <c r="R147" s="518"/>
      <c r="S147" s="518"/>
      <c r="T147" s="518"/>
      <c r="U147" s="518"/>
      <c r="V147" s="518"/>
    </row>
    <row r="148" spans="1:22" ht="15">
      <c r="A148" s="518"/>
      <c r="B148" s="518"/>
      <c r="C148" s="518"/>
      <c r="D148" s="518"/>
      <c r="E148" s="518"/>
      <c r="F148" s="518"/>
      <c r="G148" s="518"/>
      <c r="H148" s="518"/>
      <c r="I148" s="518"/>
      <c r="J148" s="518"/>
      <c r="K148" s="518"/>
      <c r="L148" s="518"/>
      <c r="M148" s="518"/>
      <c r="N148" s="518"/>
      <c r="O148" s="518"/>
      <c r="P148" s="518"/>
      <c r="Q148" s="518"/>
      <c r="R148" s="518"/>
      <c r="S148" s="518"/>
      <c r="T148" s="518"/>
      <c r="U148" s="518"/>
      <c r="V148" s="518"/>
    </row>
    <row r="149" spans="1:22" ht="15">
      <c r="A149" s="518"/>
      <c r="B149" s="518"/>
      <c r="C149" s="518"/>
      <c r="D149" s="518"/>
      <c r="E149" s="518"/>
      <c r="F149" s="518"/>
      <c r="G149" s="518"/>
      <c r="H149" s="518"/>
      <c r="I149" s="518"/>
      <c r="J149" s="518"/>
      <c r="K149" s="518"/>
      <c r="L149" s="518"/>
      <c r="M149" s="518"/>
      <c r="N149" s="518"/>
      <c r="O149" s="518"/>
      <c r="P149" s="518"/>
      <c r="Q149" s="518"/>
      <c r="R149" s="518"/>
      <c r="S149" s="518"/>
      <c r="T149" s="518"/>
      <c r="U149" s="518"/>
      <c r="V149" s="518"/>
    </row>
  </sheetData>
  <sheetProtection/>
  <mergeCells count="8">
    <mergeCell ref="B34:J35"/>
    <mergeCell ref="B27:G28"/>
    <mergeCell ref="A6:K6"/>
    <mergeCell ref="B9:H9"/>
    <mergeCell ref="A1:K1"/>
    <mergeCell ref="A2:K2"/>
    <mergeCell ref="A3:K3"/>
    <mergeCell ref="A4:K4"/>
  </mergeCells>
  <printOptions/>
  <pageMargins left="0.26" right="1.28"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100" max="17" man="1"/>
  </rowBreaks>
</worksheet>
</file>

<file path=xl/worksheets/sheet9.xml><?xml version="1.0" encoding="utf-8"?>
<worksheet xmlns="http://schemas.openxmlformats.org/spreadsheetml/2006/main" xmlns:r="http://schemas.openxmlformats.org/officeDocument/2006/relationships">
  <sheetPr>
    <pageSetUpPr fitToPage="1"/>
  </sheetPr>
  <dimension ref="A1:S73"/>
  <sheetViews>
    <sheetView zoomScale="75" zoomScaleNormal="75" zoomScalePageLayoutView="0" workbookViewId="0" topLeftCell="A1">
      <selection activeCell="A1" sqref="A1:G1"/>
    </sheetView>
  </sheetViews>
  <sheetFormatPr defaultColWidth="9.140625" defaultRowHeight="12.75"/>
  <cols>
    <col min="1" max="1" width="10.421875" style="38" customWidth="1"/>
    <col min="2" max="2" width="15.140625" style="11" customWidth="1"/>
    <col min="3" max="3" width="57.7109375" style="6" customWidth="1"/>
    <col min="4" max="4" width="15.7109375" style="6" customWidth="1"/>
    <col min="5" max="5" width="20.7109375" style="6" customWidth="1"/>
    <col min="6" max="6" width="17.28125" style="6" customWidth="1"/>
    <col min="7" max="7" width="41.8515625" style="6" customWidth="1"/>
    <col min="8" max="8" width="13.8515625" style="6" customWidth="1"/>
    <col min="9" max="9" width="9.140625" style="6" customWidth="1"/>
    <col min="10" max="10" width="12.421875" style="6" bestFit="1" customWidth="1"/>
    <col min="11" max="11" width="13.28125" style="6" customWidth="1"/>
    <col min="12" max="16384" width="9.140625" style="6" customWidth="1"/>
  </cols>
  <sheetData>
    <row r="1" spans="1:8" ht="15">
      <c r="A1" s="1429" t="str">
        <f>TCOS!$F$3</f>
        <v>AEPTCo subsidiaries in PJM</v>
      </c>
      <c r="B1" s="1429" t="str">
        <f>TCOS!$F$3</f>
        <v>AEPTCo subsidiaries in PJM</v>
      </c>
      <c r="C1" s="1429" t="str">
        <f>TCOS!$F$3</f>
        <v>AEPTCo subsidiaries in PJM</v>
      </c>
      <c r="D1" s="1429" t="str">
        <f>TCOS!$F$3</f>
        <v>AEPTCo subsidiaries in PJM</v>
      </c>
      <c r="E1" s="1429" t="str">
        <f>TCOS!$F$3</f>
        <v>AEPTCo subsidiaries in PJM</v>
      </c>
      <c r="F1" s="1429" t="str">
        <f>TCOS!$F$3</f>
        <v>AEPTCo subsidiaries in PJM</v>
      </c>
      <c r="G1" s="1429" t="str">
        <f>TCOS!$F$3</f>
        <v>AEPTCo subsidiaries in PJM</v>
      </c>
      <c r="H1" s="21"/>
    </row>
    <row r="2" spans="1:11" ht="12.75" customHeight="1">
      <c r="A2" s="1422" t="str">
        <f>"Cost of Service Formula Rate Using Actual/Projected FF1 Balances"</f>
        <v>Cost of Service Formula Rate Using Actual/Projected FF1 Balances</v>
      </c>
      <c r="B2" s="1422"/>
      <c r="C2" s="1422"/>
      <c r="D2" s="1422"/>
      <c r="E2" s="1422"/>
      <c r="F2" s="1422"/>
      <c r="G2" s="1422"/>
      <c r="H2" s="51"/>
      <c r="I2" s="51"/>
      <c r="J2" s="51"/>
      <c r="K2" s="51"/>
    </row>
    <row r="3" spans="1:7" ht="12.75" customHeight="1">
      <c r="A3" s="1422" t="s">
        <v>287</v>
      </c>
      <c r="B3" s="1422"/>
      <c r="C3" s="1422"/>
      <c r="D3" s="1422"/>
      <c r="E3" s="1422"/>
      <c r="F3" s="1422"/>
      <c r="G3" s="1422"/>
    </row>
    <row r="4" spans="1:7" ht="12.75" customHeight="1">
      <c r="A4" s="1432" t="str">
        <f>TCOS!F7</f>
        <v>AEP WEST VIRGINIA TRANSMISSION COMPANY</v>
      </c>
      <c r="B4" s="1432"/>
      <c r="C4" s="1432"/>
      <c r="D4" s="1432"/>
      <c r="E4" s="1432"/>
      <c r="F4" s="1432"/>
      <c r="G4" s="1432"/>
    </row>
    <row r="5" spans="1:7" ht="12.75" customHeight="1">
      <c r="A5" s="1429"/>
      <c r="B5" s="1429"/>
      <c r="C5" s="1429"/>
      <c r="D5" s="1429"/>
      <c r="E5" s="1429"/>
      <c r="F5" s="1429"/>
      <c r="G5" s="25"/>
    </row>
    <row r="6" spans="1:7" ht="18">
      <c r="A6" s="1450"/>
      <c r="B6" s="1450"/>
      <c r="C6" s="1450"/>
      <c r="D6" s="1450"/>
      <c r="E6" s="1450"/>
      <c r="F6" s="1450"/>
      <c r="G6" s="1450"/>
    </row>
    <row r="7" spans="1:7" ht="18">
      <c r="A7" s="80"/>
      <c r="B7" s="80"/>
      <c r="C7" s="80"/>
      <c r="D7" s="80"/>
      <c r="E7" s="80"/>
      <c r="F7" s="80"/>
      <c r="G7" s="80"/>
    </row>
    <row r="8" spans="2:7" ht="15.75">
      <c r="B8" s="19" t="s">
        <v>463</v>
      </c>
      <c r="C8" s="19" t="s">
        <v>464</v>
      </c>
      <c r="D8" s="19" t="s">
        <v>465</v>
      </c>
      <c r="E8" s="19" t="s">
        <v>466</v>
      </c>
      <c r="F8" s="19" t="s">
        <v>386</v>
      </c>
      <c r="G8" s="19" t="s">
        <v>387</v>
      </c>
    </row>
    <row r="9" spans="2:7" ht="15.75">
      <c r="B9" s="30"/>
      <c r="C9" s="25"/>
      <c r="D9" s="92"/>
      <c r="E9" s="93"/>
      <c r="F9" s="94" t="s">
        <v>389</v>
      </c>
      <c r="G9" s="19"/>
    </row>
    <row r="10" spans="1:7" ht="15.75">
      <c r="A10" s="33" t="s">
        <v>470</v>
      </c>
      <c r="B10" s="30"/>
      <c r="C10" s="39"/>
      <c r="D10" s="33">
        <f>+TCOS!L2</f>
        <v>2017</v>
      </c>
      <c r="E10" s="94" t="s">
        <v>389</v>
      </c>
      <c r="F10" s="33" t="s">
        <v>418</v>
      </c>
      <c r="G10" s="19"/>
    </row>
    <row r="11" spans="1:7" ht="15.75">
      <c r="A11" s="33" t="s">
        <v>408</v>
      </c>
      <c r="B11" s="33" t="s">
        <v>371</v>
      </c>
      <c r="C11" s="33" t="s">
        <v>468</v>
      </c>
      <c r="D11" s="33" t="s">
        <v>372</v>
      </c>
      <c r="E11" s="33" t="s">
        <v>391</v>
      </c>
      <c r="F11" s="33" t="s">
        <v>373</v>
      </c>
      <c r="G11" s="33" t="s">
        <v>374</v>
      </c>
    </row>
    <row r="12" spans="1:7" ht="15.75">
      <c r="A12" s="32"/>
      <c r="B12" s="33"/>
      <c r="C12" s="33"/>
      <c r="D12" s="33"/>
      <c r="E12" s="33"/>
      <c r="F12" s="33"/>
      <c r="G12" s="33"/>
    </row>
    <row r="13" spans="1:7" ht="15.75">
      <c r="A13" s="32"/>
      <c r="B13" s="33"/>
      <c r="C13" s="33"/>
      <c r="D13" s="33"/>
      <c r="E13" s="33"/>
      <c r="F13" s="33"/>
      <c r="G13" s="33"/>
    </row>
    <row r="14" spans="1:7" ht="15.75">
      <c r="A14" s="32"/>
      <c r="B14" s="33"/>
      <c r="D14" s="33"/>
      <c r="E14" s="33"/>
      <c r="F14" s="33"/>
      <c r="G14" s="33"/>
    </row>
    <row r="15" spans="1:7" ht="15.75">
      <c r="A15" s="32"/>
      <c r="B15" s="33"/>
      <c r="C15" s="33" t="s">
        <v>293</v>
      </c>
      <c r="D15" s="23"/>
      <c r="E15" s="23"/>
      <c r="F15" s="23"/>
      <c r="G15" s="49"/>
    </row>
    <row r="16" spans="1:7" ht="15">
      <c r="A16" s="32">
        <v>1</v>
      </c>
      <c r="B16" s="1311"/>
      <c r="C16" s="1310"/>
      <c r="D16" s="553"/>
      <c r="E16" s="1391"/>
      <c r="F16" s="1391"/>
      <c r="G16" s="22"/>
    </row>
    <row r="17" spans="1:7" ht="15">
      <c r="A17" s="32">
        <f>+A16+1</f>
        <v>2</v>
      </c>
      <c r="B17" s="961"/>
      <c r="C17" s="962"/>
      <c r="D17" s="553"/>
      <c r="E17" s="1391"/>
      <c r="F17" s="1391"/>
      <c r="G17" s="22"/>
    </row>
    <row r="18" spans="1:7" ht="15.75">
      <c r="A18" s="32">
        <f>+A17+1</f>
        <v>3</v>
      </c>
      <c r="B18" s="963"/>
      <c r="C18" s="554"/>
      <c r="D18" s="553"/>
      <c r="E18" s="1391"/>
      <c r="F18" s="1391"/>
      <c r="G18" s="22"/>
    </row>
    <row r="19" spans="1:7" ht="15.75">
      <c r="A19" s="32">
        <f>+A18+1</f>
        <v>4</v>
      </c>
      <c r="B19" s="33"/>
      <c r="C19" s="106" t="s">
        <v>421</v>
      </c>
      <c r="D19" s="41">
        <f>SUM(D16:D18)</f>
        <v>0</v>
      </c>
      <c r="E19" s="1391"/>
      <c r="F19" s="1391"/>
      <c r="G19" s="33"/>
    </row>
    <row r="20" spans="1:7" ht="15.75">
      <c r="A20" s="32"/>
      <c r="B20" s="33"/>
      <c r="C20" s="106"/>
      <c r="D20" s="113"/>
      <c r="E20" s="23"/>
      <c r="F20" s="23"/>
      <c r="G20" s="33"/>
    </row>
    <row r="21" spans="1:7" ht="15.75">
      <c r="A21" s="10"/>
      <c r="B21" s="33"/>
      <c r="C21" s="33" t="s">
        <v>200</v>
      </c>
      <c r="D21" s="129"/>
      <c r="E21" s="23"/>
      <c r="F21" s="23"/>
      <c r="G21" s="33"/>
    </row>
    <row r="22" spans="1:7" ht="15.75">
      <c r="A22" s="32">
        <f>+A19+1</f>
        <v>5</v>
      </c>
      <c r="B22" s="137"/>
      <c r="C22" s="135"/>
      <c r="D22" s="1247"/>
      <c r="E22" s="23"/>
      <c r="F22" s="23"/>
      <c r="G22" s="33"/>
    </row>
    <row r="23" spans="1:7" ht="15.75">
      <c r="A23" s="136">
        <f>+A22+1</f>
        <v>6</v>
      </c>
      <c r="B23" s="137" t="s">
        <v>186</v>
      </c>
      <c r="C23" s="137" t="s">
        <v>183</v>
      </c>
      <c r="D23" s="1342">
        <v>2605</v>
      </c>
      <c r="E23" s="23"/>
      <c r="F23" s="23"/>
      <c r="G23" s="33"/>
    </row>
    <row r="24" spans="1:7" ht="15.75">
      <c r="A24" s="32">
        <f>+A23+1</f>
        <v>7</v>
      </c>
      <c r="B24" s="135" t="s">
        <v>187</v>
      </c>
      <c r="C24" s="135" t="s">
        <v>184</v>
      </c>
      <c r="D24" s="1342">
        <v>631702</v>
      </c>
      <c r="E24" s="23"/>
      <c r="F24" s="23"/>
      <c r="G24" s="33"/>
    </row>
    <row r="25" spans="1:7" ht="15.75">
      <c r="A25" s="136">
        <f aca="true" t="shared" si="0" ref="A25:A30">+A24+1</f>
        <v>8</v>
      </c>
      <c r="B25" s="137" t="s">
        <v>188</v>
      </c>
      <c r="C25" s="137" t="s">
        <v>185</v>
      </c>
      <c r="D25" s="1342">
        <v>0</v>
      </c>
      <c r="E25" s="23"/>
      <c r="F25" s="23"/>
      <c r="G25" s="33"/>
    </row>
    <row r="26" spans="1:7" ht="15.75">
      <c r="A26" s="32">
        <f t="shared" si="0"/>
        <v>9</v>
      </c>
      <c r="B26" s="135" t="s">
        <v>189</v>
      </c>
      <c r="C26" s="135" t="s">
        <v>193</v>
      </c>
      <c r="D26" s="1342">
        <v>0</v>
      </c>
      <c r="E26" s="23"/>
      <c r="F26" s="23"/>
      <c r="G26" s="33"/>
    </row>
    <row r="27" spans="1:7" ht="15.75">
      <c r="A27" s="136">
        <f t="shared" si="0"/>
        <v>10</v>
      </c>
      <c r="B27" s="137" t="s">
        <v>190</v>
      </c>
      <c r="C27" s="137" t="s">
        <v>196</v>
      </c>
      <c r="D27" s="1342">
        <v>67699</v>
      </c>
      <c r="E27" s="23"/>
      <c r="F27" s="23"/>
      <c r="G27" s="33"/>
    </row>
    <row r="28" spans="1:7" ht="15.75">
      <c r="A28" s="32">
        <f t="shared" si="0"/>
        <v>11</v>
      </c>
      <c r="B28" s="135" t="s">
        <v>191</v>
      </c>
      <c r="C28" s="135" t="s">
        <v>197</v>
      </c>
      <c r="D28" s="1342">
        <v>7</v>
      </c>
      <c r="E28" s="23"/>
      <c r="F28" s="23"/>
      <c r="G28" s="33"/>
    </row>
    <row r="29" spans="1:7" ht="15.75">
      <c r="A29" s="136">
        <f t="shared" si="0"/>
        <v>12</v>
      </c>
      <c r="B29" s="137" t="s">
        <v>192</v>
      </c>
      <c r="C29" s="137" t="s">
        <v>198</v>
      </c>
      <c r="D29" s="1342">
        <v>0</v>
      </c>
      <c r="E29" s="23"/>
      <c r="F29" s="23"/>
      <c r="G29" s="33"/>
    </row>
    <row r="30" spans="1:7" ht="15.75">
      <c r="A30" s="32">
        <f t="shared" si="0"/>
        <v>13</v>
      </c>
      <c r="B30" s="135" t="s">
        <v>194</v>
      </c>
      <c r="C30" s="135" t="s">
        <v>199</v>
      </c>
      <c r="D30" s="1342">
        <v>0</v>
      </c>
      <c r="E30" s="23"/>
      <c r="F30" s="23"/>
      <c r="G30" s="33"/>
    </row>
    <row r="31" spans="1:7" ht="15.75">
      <c r="A31" s="136">
        <f>+A30+1</f>
        <v>14</v>
      </c>
      <c r="B31" s="137"/>
      <c r="C31" s="19" t="s">
        <v>195</v>
      </c>
      <c r="D31" s="41">
        <f>SUM(D22:D30)</f>
        <v>702013</v>
      </c>
      <c r="E31" s="33"/>
      <c r="F31" s="33"/>
      <c r="G31" s="33"/>
    </row>
    <row r="32" spans="1:7" ht="15.75">
      <c r="A32" s="105"/>
      <c r="B32" s="47"/>
      <c r="C32" s="33"/>
      <c r="D32" s="33"/>
      <c r="E32" s="33"/>
      <c r="F32" s="33"/>
      <c r="G32" s="33"/>
    </row>
    <row r="33" spans="1:7" ht="15.75">
      <c r="A33" s="105"/>
      <c r="B33" s="32"/>
      <c r="C33" s="54" t="s">
        <v>505</v>
      </c>
      <c r="D33" s="25"/>
      <c r="E33" s="25"/>
      <c r="F33" s="25"/>
      <c r="G33" s="25"/>
    </row>
    <row r="34" spans="1:7" ht="15">
      <c r="A34" s="32">
        <f>+A31+1</f>
        <v>15</v>
      </c>
      <c r="B34" s="1345" t="s">
        <v>827</v>
      </c>
      <c r="C34" s="1344" t="s">
        <v>828</v>
      </c>
      <c r="D34" s="1343">
        <v>209</v>
      </c>
      <c r="E34" s="23">
        <f>D34-F34</f>
        <v>209</v>
      </c>
      <c r="F34" s="23">
        <v>0</v>
      </c>
      <c r="G34" s="22"/>
    </row>
    <row r="35" spans="1:7" ht="15">
      <c r="A35" s="32">
        <f>+A34+1</f>
        <v>16</v>
      </c>
      <c r="B35" s="1345" t="s">
        <v>829</v>
      </c>
      <c r="C35" s="1344" t="s">
        <v>830</v>
      </c>
      <c r="D35" s="1343">
        <v>0</v>
      </c>
      <c r="E35" s="23">
        <f>D35-F35</f>
        <v>0</v>
      </c>
      <c r="F35" s="23">
        <v>0</v>
      </c>
      <c r="G35" s="22"/>
    </row>
    <row r="36" spans="1:7" ht="15">
      <c r="A36" s="32">
        <f>+A35+1</f>
        <v>17</v>
      </c>
      <c r="B36" s="1345" t="s">
        <v>831</v>
      </c>
      <c r="C36" s="1344" t="s">
        <v>832</v>
      </c>
      <c r="D36" s="1343">
        <v>367</v>
      </c>
      <c r="E36" s="23">
        <f>D36-F36</f>
        <v>367</v>
      </c>
      <c r="F36" s="23">
        <v>0</v>
      </c>
      <c r="G36" s="22"/>
    </row>
    <row r="37" spans="1:7" ht="15">
      <c r="A37" s="32">
        <f>+A36+1</f>
        <v>18</v>
      </c>
      <c r="B37" s="1345" t="s">
        <v>833</v>
      </c>
      <c r="C37" s="1344" t="s">
        <v>832</v>
      </c>
      <c r="D37" s="1343">
        <v>0</v>
      </c>
      <c r="E37" s="23">
        <f>D37-F37</f>
        <v>0</v>
      </c>
      <c r="F37" s="23">
        <v>0</v>
      </c>
      <c r="G37" s="49"/>
    </row>
    <row r="38" spans="1:7" ht="15">
      <c r="A38" s="32">
        <f>+A37+1</f>
        <v>19</v>
      </c>
      <c r="B38" s="1345" t="s">
        <v>834</v>
      </c>
      <c r="C38" s="1344" t="s">
        <v>832</v>
      </c>
      <c r="D38" s="1343">
        <v>0</v>
      </c>
      <c r="E38" s="23">
        <f>D38-F38</f>
        <v>0</v>
      </c>
      <c r="F38" s="23">
        <v>0</v>
      </c>
      <c r="G38" s="49"/>
    </row>
    <row r="39" spans="1:7" ht="15">
      <c r="A39" s="32">
        <f>+A38+1</f>
        <v>20</v>
      </c>
      <c r="B39" s="1345" t="s">
        <v>835</v>
      </c>
      <c r="C39" s="1344" t="s">
        <v>908</v>
      </c>
      <c r="D39" s="1343">
        <v>36243</v>
      </c>
      <c r="E39" s="23">
        <v>0</v>
      </c>
      <c r="F39" s="23">
        <f>D39</f>
        <v>36243</v>
      </c>
      <c r="G39" s="49"/>
    </row>
    <row r="40" spans="1:7" ht="15">
      <c r="A40" s="32"/>
      <c r="B40" s="53"/>
      <c r="C40" s="43"/>
      <c r="D40" s="23"/>
      <c r="E40" s="23"/>
      <c r="F40" s="23"/>
      <c r="G40" s="22"/>
    </row>
    <row r="41" spans="1:7" ht="12.75" customHeight="1">
      <c r="A41" s="32"/>
      <c r="B41" s="24" t="s">
        <v>417</v>
      </c>
      <c r="C41" s="43"/>
      <c r="D41" s="26"/>
      <c r="E41" s="27"/>
      <c r="F41" s="28"/>
      <c r="G41" s="25"/>
    </row>
    <row r="42" spans="1:7" ht="15.75" customHeight="1">
      <c r="A42" s="32">
        <f>+A39+1</f>
        <v>21</v>
      </c>
      <c r="B42" s="30"/>
      <c r="C42" s="1248" t="s">
        <v>644</v>
      </c>
      <c r="D42" s="41">
        <f>SUM(D34:D40)</f>
        <v>36819</v>
      </c>
      <c r="E42" s="41">
        <f>SUM(E34:E40)</f>
        <v>576</v>
      </c>
      <c r="F42" s="41">
        <f>SUM(F34:F40)</f>
        <v>36243</v>
      </c>
      <c r="G42" s="13"/>
    </row>
    <row r="43" spans="1:7" ht="12.75" customHeight="1">
      <c r="A43" s="32"/>
      <c r="B43" s="30"/>
      <c r="C43" s="31"/>
      <c r="D43" s="46"/>
      <c r="E43" s="16"/>
      <c r="F43" s="16"/>
      <c r="G43" s="25"/>
    </row>
    <row r="44" spans="1:7" ht="15.75">
      <c r="A44" s="32"/>
      <c r="B44" s="32"/>
      <c r="C44" s="54" t="s">
        <v>504</v>
      </c>
      <c r="D44" s="16"/>
      <c r="E44" s="16"/>
      <c r="F44" s="16"/>
      <c r="G44" s="25"/>
    </row>
    <row r="45" spans="1:19" ht="15">
      <c r="A45" s="32">
        <f>+A42+1</f>
        <v>22</v>
      </c>
      <c r="B45" s="1348" t="s">
        <v>836</v>
      </c>
      <c r="C45" s="1347" t="s">
        <v>837</v>
      </c>
      <c r="D45" s="1346">
        <v>397</v>
      </c>
      <c r="E45" s="23">
        <f>+D45</f>
        <v>397</v>
      </c>
      <c r="F45" s="23">
        <v>0</v>
      </c>
      <c r="G45"/>
      <c r="M45" s="12"/>
      <c r="N45" s="44"/>
      <c r="O45" s="45"/>
      <c r="P45" s="45"/>
      <c r="Q45" s="45"/>
      <c r="R45" s="45"/>
      <c r="S45" s="14"/>
    </row>
    <row r="46" spans="1:19" ht="15">
      <c r="A46" s="32">
        <f>+A45+1</f>
        <v>23</v>
      </c>
      <c r="B46" s="1348" t="s">
        <v>838</v>
      </c>
      <c r="C46" s="1347" t="s">
        <v>839</v>
      </c>
      <c r="D46" s="1346">
        <v>3</v>
      </c>
      <c r="E46" s="23">
        <f aca="true" t="shared" si="1" ref="E46:E60">+D46</f>
        <v>3</v>
      </c>
      <c r="F46" s="23">
        <v>0</v>
      </c>
      <c r="G46"/>
      <c r="M46" s="12"/>
      <c r="N46" s="44"/>
      <c r="O46" s="45"/>
      <c r="P46" s="45"/>
      <c r="Q46" s="45"/>
      <c r="R46" s="45"/>
      <c r="S46" s="14"/>
    </row>
    <row r="47" spans="1:19" ht="15">
      <c r="A47" s="32">
        <f aca="true" t="shared" si="2" ref="A47:A60">+A46+1</f>
        <v>24</v>
      </c>
      <c r="B47" s="1348" t="s">
        <v>840</v>
      </c>
      <c r="C47" s="1347" t="s">
        <v>841</v>
      </c>
      <c r="D47" s="1346">
        <v>0</v>
      </c>
      <c r="E47" s="23">
        <f t="shared" si="1"/>
        <v>0</v>
      </c>
      <c r="F47" s="23">
        <v>0</v>
      </c>
      <c r="G47"/>
      <c r="M47" s="12"/>
      <c r="N47" s="44"/>
      <c r="O47" s="45"/>
      <c r="P47" s="45"/>
      <c r="Q47" s="45"/>
      <c r="R47" s="45"/>
      <c r="S47" s="14"/>
    </row>
    <row r="48" spans="1:19" ht="15">
      <c r="A48" s="32">
        <f t="shared" si="2"/>
        <v>25</v>
      </c>
      <c r="B48" s="1348" t="s">
        <v>842</v>
      </c>
      <c r="C48" s="1347" t="s">
        <v>843</v>
      </c>
      <c r="D48" s="1346">
        <v>0</v>
      </c>
      <c r="E48" s="23">
        <f t="shared" si="1"/>
        <v>0</v>
      </c>
      <c r="F48" s="23">
        <v>0</v>
      </c>
      <c r="G48"/>
      <c r="M48" s="12"/>
      <c r="N48" s="44"/>
      <c r="O48" s="45"/>
      <c r="P48" s="45"/>
      <c r="Q48" s="45"/>
      <c r="R48" s="45"/>
      <c r="S48" s="14"/>
    </row>
    <row r="49" spans="1:19" ht="15">
      <c r="A49" s="32">
        <f t="shared" si="2"/>
        <v>26</v>
      </c>
      <c r="B49" s="1348" t="s">
        <v>844</v>
      </c>
      <c r="C49" s="1347" t="s">
        <v>845</v>
      </c>
      <c r="D49" s="1346">
        <v>0</v>
      </c>
      <c r="E49" s="23">
        <f t="shared" si="1"/>
        <v>0</v>
      </c>
      <c r="F49" s="23"/>
      <c r="G49"/>
      <c r="M49" s="12"/>
      <c r="N49" s="44"/>
      <c r="O49" s="45"/>
      <c r="P49" s="45"/>
      <c r="Q49" s="45"/>
      <c r="R49" s="45"/>
      <c r="S49" s="14"/>
    </row>
    <row r="50" spans="1:19" ht="15">
      <c r="A50" s="32">
        <f t="shared" si="2"/>
        <v>27</v>
      </c>
      <c r="B50" s="1348" t="s">
        <v>846</v>
      </c>
      <c r="C50" s="1347" t="s">
        <v>847</v>
      </c>
      <c r="D50" s="1346">
        <v>0</v>
      </c>
      <c r="E50" s="23">
        <f t="shared" si="1"/>
        <v>0</v>
      </c>
      <c r="F50" s="23">
        <v>0</v>
      </c>
      <c r="G50"/>
      <c r="M50" s="12"/>
      <c r="N50" s="44"/>
      <c r="O50" s="45"/>
      <c r="P50" s="45"/>
      <c r="Q50" s="45"/>
      <c r="R50" s="45"/>
      <c r="S50" s="14"/>
    </row>
    <row r="51" spans="1:19" ht="15">
      <c r="A51" s="32">
        <f t="shared" si="2"/>
        <v>28</v>
      </c>
      <c r="B51" s="1348" t="s">
        <v>848</v>
      </c>
      <c r="C51" s="1347" t="s">
        <v>849</v>
      </c>
      <c r="D51" s="1346">
        <v>0</v>
      </c>
      <c r="E51" s="23">
        <f t="shared" si="1"/>
        <v>0</v>
      </c>
      <c r="F51" s="23">
        <v>0</v>
      </c>
      <c r="G51"/>
      <c r="M51" s="12"/>
      <c r="N51" s="44"/>
      <c r="O51" s="45"/>
      <c r="P51" s="45"/>
      <c r="Q51" s="45"/>
      <c r="R51" s="45"/>
      <c r="S51" s="14"/>
    </row>
    <row r="52" spans="1:19" ht="15">
      <c r="A52" s="32">
        <f t="shared" si="2"/>
        <v>29</v>
      </c>
      <c r="B52" s="1348" t="s">
        <v>850</v>
      </c>
      <c r="C52" s="1347" t="s">
        <v>851</v>
      </c>
      <c r="D52" s="1346">
        <v>0</v>
      </c>
      <c r="E52" s="23">
        <f t="shared" si="1"/>
        <v>0</v>
      </c>
      <c r="F52" s="23">
        <v>0</v>
      </c>
      <c r="G52"/>
      <c r="M52" s="12"/>
      <c r="N52" s="44"/>
      <c r="O52" s="45"/>
      <c r="P52" s="45"/>
      <c r="Q52" s="45"/>
      <c r="R52" s="45"/>
      <c r="S52" s="14"/>
    </row>
    <row r="53" spans="1:19" ht="15">
      <c r="A53" s="32">
        <f t="shared" si="2"/>
        <v>30</v>
      </c>
      <c r="B53" s="1348" t="s">
        <v>852</v>
      </c>
      <c r="C53" s="1347" t="s">
        <v>853</v>
      </c>
      <c r="D53" s="1346">
        <v>0</v>
      </c>
      <c r="E53" s="23">
        <f t="shared" si="1"/>
        <v>0</v>
      </c>
      <c r="F53" s="23">
        <v>0</v>
      </c>
      <c r="G53"/>
      <c r="M53" s="12"/>
      <c r="N53" s="44"/>
      <c r="O53" s="45"/>
      <c r="P53" s="45"/>
      <c r="Q53" s="45"/>
      <c r="R53" s="45"/>
      <c r="S53" s="14"/>
    </row>
    <row r="54" spans="1:19" ht="15">
      <c r="A54" s="32">
        <f t="shared" si="2"/>
        <v>31</v>
      </c>
      <c r="B54" s="1348" t="s">
        <v>854</v>
      </c>
      <c r="C54" s="1347" t="s">
        <v>855</v>
      </c>
      <c r="D54" s="1346">
        <v>0</v>
      </c>
      <c r="E54" s="23">
        <f t="shared" si="1"/>
        <v>0</v>
      </c>
      <c r="F54" s="23">
        <v>0</v>
      </c>
      <c r="G54"/>
      <c r="M54" s="12"/>
      <c r="N54" s="44"/>
      <c r="O54" s="45"/>
      <c r="P54" s="45"/>
      <c r="Q54" s="45"/>
      <c r="R54" s="45"/>
      <c r="S54" s="14"/>
    </row>
    <row r="55" spans="1:19" ht="15">
      <c r="A55" s="32">
        <f t="shared" si="2"/>
        <v>32</v>
      </c>
      <c r="B55" s="1348" t="s">
        <v>856</v>
      </c>
      <c r="C55" s="1347" t="s">
        <v>857</v>
      </c>
      <c r="D55" s="1346">
        <v>219</v>
      </c>
      <c r="E55" s="23">
        <f t="shared" si="1"/>
        <v>219</v>
      </c>
      <c r="F55" s="29">
        <v>0</v>
      </c>
      <c r="G55"/>
      <c r="M55" s="12"/>
      <c r="N55" s="44"/>
      <c r="O55" s="45"/>
      <c r="P55" s="45"/>
      <c r="Q55" s="45"/>
      <c r="R55" s="45"/>
      <c r="S55" s="14"/>
    </row>
    <row r="56" spans="1:7" ht="15">
      <c r="A56" s="32">
        <f t="shared" si="2"/>
        <v>33</v>
      </c>
      <c r="B56" s="1348" t="s">
        <v>858</v>
      </c>
      <c r="C56" s="1347" t="s">
        <v>859</v>
      </c>
      <c r="D56" s="1346">
        <v>0</v>
      </c>
      <c r="E56" s="23">
        <f t="shared" si="1"/>
        <v>0</v>
      </c>
      <c r="F56" s="29">
        <v>0</v>
      </c>
      <c r="G56"/>
    </row>
    <row r="57" spans="1:7" ht="15">
      <c r="A57" s="32">
        <f t="shared" si="2"/>
        <v>34</v>
      </c>
      <c r="B57" s="1348" t="s">
        <v>860</v>
      </c>
      <c r="C57" s="1347" t="s">
        <v>861</v>
      </c>
      <c r="D57" s="1346">
        <v>5</v>
      </c>
      <c r="E57" s="23">
        <f t="shared" si="1"/>
        <v>5</v>
      </c>
      <c r="F57" s="29">
        <v>0</v>
      </c>
      <c r="G57" s="25"/>
    </row>
    <row r="58" spans="1:7" ht="15">
      <c r="A58" s="32">
        <f t="shared" si="2"/>
        <v>35</v>
      </c>
      <c r="B58" s="1348" t="s">
        <v>862</v>
      </c>
      <c r="C58" s="1347" t="s">
        <v>863</v>
      </c>
      <c r="D58" s="1346">
        <v>0</v>
      </c>
      <c r="E58" s="23">
        <f t="shared" si="1"/>
        <v>0</v>
      </c>
      <c r="F58" s="29">
        <v>0</v>
      </c>
      <c r="G58" s="25"/>
    </row>
    <row r="59" spans="1:7" ht="15">
      <c r="A59" s="32">
        <f t="shared" si="2"/>
        <v>36</v>
      </c>
      <c r="B59" s="1348" t="s">
        <v>864</v>
      </c>
      <c r="C59" s="1347" t="s">
        <v>865</v>
      </c>
      <c r="D59" s="1346">
        <v>0</v>
      </c>
      <c r="E59" s="23">
        <f t="shared" si="1"/>
        <v>0</v>
      </c>
      <c r="F59" s="29">
        <v>0</v>
      </c>
      <c r="G59" s="25"/>
    </row>
    <row r="60" spans="1:7" ht="15">
      <c r="A60" s="32">
        <f t="shared" si="2"/>
        <v>37</v>
      </c>
      <c r="B60" s="1348" t="s">
        <v>866</v>
      </c>
      <c r="C60" s="1347" t="s">
        <v>867</v>
      </c>
      <c r="D60" s="1346">
        <v>983</v>
      </c>
      <c r="E60" s="23">
        <f t="shared" si="1"/>
        <v>983</v>
      </c>
      <c r="F60" s="29">
        <v>0</v>
      </c>
      <c r="G60" s="25"/>
    </row>
    <row r="61" spans="1:7" ht="15">
      <c r="A61" s="32"/>
      <c r="B61" s="24"/>
      <c r="C61" s="25"/>
      <c r="D61" s="34"/>
      <c r="E61" s="35"/>
      <c r="F61" s="34"/>
      <c r="G61" s="25"/>
    </row>
    <row r="62" spans="1:7" ht="15.75">
      <c r="A62" s="32">
        <f>+A60+1</f>
        <v>38</v>
      </c>
      <c r="B62" s="30"/>
      <c r="C62" s="1248" t="s">
        <v>645</v>
      </c>
      <c r="D62" s="36">
        <f>SUM(D45:D61)</f>
        <v>1607</v>
      </c>
      <c r="E62" s="36">
        <f>SUM(E45:E61)</f>
        <v>1607</v>
      </c>
      <c r="F62" s="36">
        <f>SUM(F45:F56)</f>
        <v>0</v>
      </c>
      <c r="G62" s="13"/>
    </row>
    <row r="63" spans="1:7" ht="12.75" customHeight="1">
      <c r="A63" s="32"/>
      <c r="B63" s="20"/>
      <c r="C63" s="20"/>
      <c r="D63" s="20"/>
      <c r="E63" s="20"/>
      <c r="F63" s="20"/>
      <c r="G63" s="20"/>
    </row>
    <row r="64" spans="1:7" ht="15.75">
      <c r="A64" s="32"/>
      <c r="B64" s="19"/>
      <c r="C64" s="54" t="s">
        <v>503</v>
      </c>
      <c r="D64" s="37"/>
      <c r="E64" s="37"/>
      <c r="F64" s="37"/>
      <c r="G64" s="19"/>
    </row>
    <row r="65" spans="1:11" ht="15">
      <c r="A65" s="32">
        <f>+A62+1</f>
        <v>39</v>
      </c>
      <c r="B65" s="1351" t="s">
        <v>868</v>
      </c>
      <c r="C65" s="1350" t="s">
        <v>869</v>
      </c>
      <c r="D65" s="1349">
        <v>43039</v>
      </c>
      <c r="E65" s="23">
        <f>D65</f>
        <v>43039</v>
      </c>
      <c r="F65" s="29">
        <v>0</v>
      </c>
      <c r="G65" s="12"/>
      <c r="H65" s="44"/>
      <c r="J65" s="14"/>
      <c r="K65" s="14"/>
    </row>
    <row r="66" spans="1:11" ht="15">
      <c r="A66" s="32">
        <f>+A65+1</f>
        <v>40</v>
      </c>
      <c r="B66" s="1351" t="s">
        <v>870</v>
      </c>
      <c r="C66" s="1350" t="s">
        <v>871</v>
      </c>
      <c r="D66" s="1349">
        <v>2246</v>
      </c>
      <c r="E66" s="23">
        <f>D66</f>
        <v>2246</v>
      </c>
      <c r="F66" s="29">
        <v>0</v>
      </c>
      <c r="G66" s="12"/>
      <c r="H66" s="44"/>
      <c r="J66" s="14"/>
      <c r="K66" s="14"/>
    </row>
    <row r="67" spans="1:11" ht="15">
      <c r="A67" s="32">
        <f>+A66+1</f>
        <v>41</v>
      </c>
      <c r="B67" s="1351" t="s">
        <v>872</v>
      </c>
      <c r="C67" s="1350" t="s">
        <v>873</v>
      </c>
      <c r="D67" s="1349">
        <v>0</v>
      </c>
      <c r="E67" s="23">
        <f>D67</f>
        <v>0</v>
      </c>
      <c r="F67" s="29">
        <v>0</v>
      </c>
      <c r="G67" s="12"/>
      <c r="H67" s="44"/>
      <c r="J67" s="14"/>
      <c r="K67" s="14"/>
    </row>
    <row r="68" spans="1:7" ht="15">
      <c r="A68" s="32">
        <f>+A67+1</f>
        <v>42</v>
      </c>
      <c r="B68" s="1351" t="s">
        <v>874</v>
      </c>
      <c r="C68" s="1350" t="s">
        <v>875</v>
      </c>
      <c r="D68" s="1349">
        <v>-214</v>
      </c>
      <c r="E68" s="23">
        <v>0</v>
      </c>
      <c r="F68" s="29">
        <f>D68</f>
        <v>-214</v>
      </c>
      <c r="G68" s="20"/>
    </row>
    <row r="69" spans="1:7" ht="15">
      <c r="A69" s="32"/>
      <c r="B69" s="20"/>
      <c r="C69" s="20"/>
      <c r="D69" s="20"/>
      <c r="E69" s="20"/>
      <c r="F69" s="20"/>
      <c r="G69" s="20"/>
    </row>
    <row r="70" spans="1:7" ht="15.75">
      <c r="A70" s="32">
        <f>+A68+1</f>
        <v>43</v>
      </c>
      <c r="B70" s="20"/>
      <c r="C70" s="1248" t="s">
        <v>646</v>
      </c>
      <c r="D70" s="36">
        <f>SUM(D65:D69)</f>
        <v>45071</v>
      </c>
      <c r="E70" s="36">
        <f>SUM(E65:E69)</f>
        <v>45285</v>
      </c>
      <c r="F70" s="36">
        <f>SUM(F65:F69)</f>
        <v>-214</v>
      </c>
      <c r="G70" s="13"/>
    </row>
    <row r="71" spans="1:7" ht="15">
      <c r="A71" s="32"/>
      <c r="B71" s="48"/>
      <c r="C71" s="9"/>
      <c r="D71" s="9"/>
      <c r="E71" s="9"/>
      <c r="F71" s="9"/>
      <c r="G71" s="9"/>
    </row>
    <row r="72" spans="1:6" ht="12.75">
      <c r="A72" s="107"/>
      <c r="B72"/>
      <c r="C72"/>
      <c r="D72"/>
      <c r="E72"/>
      <c r="F72"/>
    </row>
    <row r="73" spans="1:6" ht="12.75">
      <c r="A73" s="107"/>
      <c r="B73"/>
      <c r="C73"/>
      <c r="D73"/>
      <c r="E73"/>
      <c r="F73"/>
    </row>
  </sheetData>
  <sheetProtection/>
  <mergeCells count="6">
    <mergeCell ref="A1:G1"/>
    <mergeCell ref="A6:G6"/>
    <mergeCell ref="A5:F5"/>
    <mergeCell ref="A2:G2"/>
    <mergeCell ref="A3:G3"/>
    <mergeCell ref="A4:G4"/>
  </mergeCells>
  <printOptions/>
  <pageMargins left="1.27" right="1.28" top="0.8" bottom="0.67" header="0.75" footer="0.4"/>
  <pageSetup fitToHeight="1" fitToWidth="1" horizontalDpi="600" verticalDpi="600" orientation="landscape" scale="50"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2018-05-24T21:16:39Z</dcterms:modified>
  <cp:category/>
  <cp:version/>
  <cp:contentType/>
  <cp:contentStatus/>
</cp:coreProperties>
</file>